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Документы 07-2025\Documents\МТ\Презентация Mytrade.kz для Инвестора\"/>
    </mc:Choice>
  </mc:AlternateContent>
  <xr:revisionPtr revIDLastSave="0" documentId="13_ncr:1_{E15AA7B4-8593-4414-8984-CE81F1C80073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Фин.модель" sheetId="5" r:id="rId1"/>
    <sheet name="Вводные данные" sheetId="1" r:id="rId2"/>
    <sheet name="Ежемесячный платеж инвестиций" sheetId="4" r:id="rId3"/>
    <sheet name="ФОТ" sheetId="2" r:id="rId4"/>
    <sheet name="Расчеты коверсий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5" l="1"/>
  <c r="E15" i="5" l="1"/>
  <c r="E16" i="5"/>
  <c r="E17" i="5"/>
  <c r="E18" i="5"/>
  <c r="E19" i="5"/>
  <c r="E20" i="5"/>
  <c r="E21" i="5"/>
  <c r="E22" i="5"/>
  <c r="E23" i="5"/>
  <c r="E24" i="5"/>
  <c r="E25" i="5"/>
  <c r="E26" i="5"/>
  <c r="M7" i="2"/>
  <c r="M8" i="2"/>
  <c r="M11" i="2"/>
  <c r="M12" i="2"/>
  <c r="M15" i="2"/>
  <c r="M16" i="2"/>
  <c r="M19" i="2"/>
  <c r="M20" i="2"/>
  <c r="M23" i="2"/>
  <c r="M24" i="2"/>
  <c r="M27" i="2"/>
  <c r="K5" i="2"/>
  <c r="M5" i="2" s="1"/>
  <c r="K6" i="2"/>
  <c r="M6" i="2" s="1"/>
  <c r="K7" i="2"/>
  <c r="K8" i="2"/>
  <c r="K9" i="2"/>
  <c r="M9" i="2" s="1"/>
  <c r="K10" i="2"/>
  <c r="M10" i="2" s="1"/>
  <c r="K11" i="2"/>
  <c r="K12" i="2"/>
  <c r="K13" i="2"/>
  <c r="M13" i="2" s="1"/>
  <c r="K14" i="2"/>
  <c r="M14" i="2" s="1"/>
  <c r="K15" i="2"/>
  <c r="K16" i="2"/>
  <c r="K17" i="2"/>
  <c r="M17" i="2" s="1"/>
  <c r="K18" i="2"/>
  <c r="M18" i="2" s="1"/>
  <c r="K19" i="2"/>
  <c r="K20" i="2"/>
  <c r="K21" i="2"/>
  <c r="M21" i="2" s="1"/>
  <c r="K22" i="2"/>
  <c r="M22" i="2" s="1"/>
  <c r="K23" i="2"/>
  <c r="K24" i="2"/>
  <c r="K25" i="2"/>
  <c r="M25" i="2" s="1"/>
  <c r="K26" i="2"/>
  <c r="M26" i="2" s="1"/>
  <c r="K27" i="2"/>
  <c r="K4" i="2"/>
  <c r="K28" i="2" s="1"/>
  <c r="F6" i="2"/>
  <c r="F10" i="2"/>
  <c r="F14" i="2"/>
  <c r="F18" i="2"/>
  <c r="F4" i="2"/>
  <c r="D5" i="2"/>
  <c r="F5" i="2" s="1"/>
  <c r="D6" i="2"/>
  <c r="D7" i="2"/>
  <c r="F7" i="2" s="1"/>
  <c r="D8" i="2"/>
  <c r="D23" i="2" s="1"/>
  <c r="B2" i="1" s="1"/>
  <c r="D9" i="2"/>
  <c r="F9" i="2" s="1"/>
  <c r="D10" i="2"/>
  <c r="D11" i="2"/>
  <c r="F11" i="2" s="1"/>
  <c r="D12" i="2"/>
  <c r="F12" i="2" s="1"/>
  <c r="D13" i="2"/>
  <c r="F13" i="2" s="1"/>
  <c r="D14" i="2"/>
  <c r="D15" i="2"/>
  <c r="F15" i="2" s="1"/>
  <c r="D16" i="2"/>
  <c r="F16" i="2" s="1"/>
  <c r="D17" i="2"/>
  <c r="F17" i="2" s="1"/>
  <c r="D18" i="2"/>
  <c r="D19" i="2"/>
  <c r="F19" i="2" s="1"/>
  <c r="D20" i="2"/>
  <c r="F20" i="2" s="1"/>
  <c r="D21" i="2"/>
  <c r="F21" i="2" s="1"/>
  <c r="D4" i="2"/>
  <c r="E11" i="5"/>
  <c r="E12" i="5"/>
  <c r="E13" i="5"/>
  <c r="E14" i="5"/>
  <c r="L28" i="2"/>
  <c r="E23" i="2"/>
  <c r="B29" i="1"/>
  <c r="M18" i="5"/>
  <c r="M19" i="5"/>
  <c r="M20" i="5"/>
  <c r="M21" i="5"/>
  <c r="M22" i="5"/>
  <c r="M23" i="5"/>
  <c r="M24" i="5"/>
  <c r="M25" i="5"/>
  <c r="M26" i="5"/>
  <c r="L18" i="5"/>
  <c r="L19" i="5"/>
  <c r="L20" i="5"/>
  <c r="L21" i="5"/>
  <c r="L22" i="5"/>
  <c r="L23" i="5"/>
  <c r="L24" i="5"/>
  <c r="L25" i="5"/>
  <c r="L26" i="5"/>
  <c r="C14" i="4"/>
  <c r="C15" i="4"/>
  <c r="C16" i="4"/>
  <c r="C17" i="4"/>
  <c r="C18" i="4"/>
  <c r="C19" i="4"/>
  <c r="C20" i="4"/>
  <c r="C21" i="4"/>
  <c r="C22" i="4"/>
  <c r="C23" i="4"/>
  <c r="C24" i="4"/>
  <c r="C13" i="4"/>
  <c r="B14" i="4"/>
  <c r="D14" i="4" s="1"/>
  <c r="L4" i="5" s="1"/>
  <c r="B15" i="4"/>
  <c r="B16" i="4"/>
  <c r="D16" i="4" s="1"/>
  <c r="B17" i="4"/>
  <c r="D17" i="4" s="1"/>
  <c r="B18" i="4"/>
  <c r="D18" i="4" s="1"/>
  <c r="B19" i="4"/>
  <c r="D19" i="4" s="1"/>
  <c r="B20" i="4"/>
  <c r="D20" i="4" s="1"/>
  <c r="B21" i="4"/>
  <c r="D21" i="4" s="1"/>
  <c r="B22" i="4"/>
  <c r="D22" i="4" s="1"/>
  <c r="B23" i="4"/>
  <c r="D23" i="4" s="1"/>
  <c r="B24" i="4"/>
  <c r="D24" i="4" s="1"/>
  <c r="B13" i="4"/>
  <c r="M28" i="2" l="1"/>
  <c r="B3" i="1"/>
  <c r="F23" i="2"/>
  <c r="M4" i="2"/>
  <c r="F8" i="2"/>
  <c r="D15" i="4"/>
  <c r="L5" i="5" s="1"/>
  <c r="E14" i="4"/>
  <c r="M4" i="5" s="1"/>
  <c r="E13" i="4"/>
  <c r="M3" i="5" s="1"/>
  <c r="E16" i="4"/>
  <c r="E15" i="4"/>
  <c r="I3" i="4" s="1"/>
  <c r="D13" i="4"/>
  <c r="L3" i="5" s="1"/>
  <c r="E21" i="4"/>
  <c r="E17" i="4"/>
  <c r="E24" i="4"/>
  <c r="E20" i="4"/>
  <c r="E23" i="4"/>
  <c r="E19" i="4"/>
  <c r="E22" i="4"/>
  <c r="E18" i="4"/>
  <c r="H13" i="4" l="1"/>
  <c r="K13" i="4" s="1"/>
  <c r="H21" i="4"/>
  <c r="I22" i="4"/>
  <c r="I23" i="4"/>
  <c r="H20" i="4"/>
  <c r="I21" i="4"/>
  <c r="H24" i="4"/>
  <c r="H22" i="4"/>
  <c r="I20" i="4"/>
  <c r="H23" i="4"/>
  <c r="I24" i="4"/>
  <c r="M5" i="5"/>
  <c r="J23" i="4" l="1"/>
  <c r="L16" i="5" s="1"/>
  <c r="J22" i="4"/>
  <c r="J20" i="4"/>
  <c r="J21" i="4"/>
  <c r="J24" i="4"/>
  <c r="L17" i="5" s="1"/>
  <c r="I18" i="4"/>
  <c r="I16" i="4"/>
  <c r="I14" i="4"/>
  <c r="I7" i="4"/>
  <c r="I8" i="4" s="1"/>
  <c r="I9" i="4" s="1"/>
  <c r="L15" i="5"/>
  <c r="H18" i="4"/>
  <c r="H16" i="4"/>
  <c r="H14" i="4"/>
  <c r="I19" i="4"/>
  <c r="I17" i="4"/>
  <c r="I13" i="4"/>
  <c r="H19" i="4"/>
  <c r="H17" i="4"/>
  <c r="I15" i="4"/>
  <c r="H15" i="4"/>
  <c r="M6" i="5"/>
  <c r="J14" i="4" l="1"/>
  <c r="L7" i="5" s="1"/>
  <c r="K20" i="4"/>
  <c r="K22" i="4"/>
  <c r="M15" i="5" s="1"/>
  <c r="K24" i="4"/>
  <c r="M17" i="5" s="1"/>
  <c r="K23" i="4"/>
  <c r="M16" i="5" s="1"/>
  <c r="K21" i="4"/>
  <c r="M14" i="5" s="1"/>
  <c r="L14" i="5"/>
  <c r="K15" i="4"/>
  <c r="M8" i="5" s="1"/>
  <c r="J19" i="4"/>
  <c r="L12" i="5" s="1"/>
  <c r="L13" i="5"/>
  <c r="K18" i="4"/>
  <c r="M11" i="5" s="1"/>
  <c r="K17" i="4"/>
  <c r="M10" i="5" s="1"/>
  <c r="M13" i="5"/>
  <c r="K14" i="4"/>
  <c r="M7" i="5" s="1"/>
  <c r="J13" i="4"/>
  <c r="J16" i="4"/>
  <c r="L9" i="5" s="1"/>
  <c r="K19" i="4"/>
  <c r="M12" i="5" s="1"/>
  <c r="K16" i="4"/>
  <c r="M9" i="5" s="1"/>
  <c r="J15" i="4"/>
  <c r="L8" i="5" s="1"/>
  <c r="J17" i="4"/>
  <c r="L10" i="5" s="1"/>
  <c r="J18" i="4"/>
  <c r="L11" i="5" s="1"/>
  <c r="B30" i="1" l="1"/>
  <c r="L6" i="5"/>
  <c r="B27" i="1" l="1"/>
  <c r="C7" i="4"/>
  <c r="B9" i="1"/>
  <c r="B8" i="1"/>
  <c r="B7" i="1"/>
  <c r="E4" i="3"/>
  <c r="F4" i="3" s="1"/>
  <c r="G4" i="3" s="1"/>
  <c r="E3" i="3"/>
  <c r="F3" i="3" s="1"/>
  <c r="G3" i="3" s="1"/>
  <c r="E2" i="3"/>
  <c r="F2" i="3" s="1"/>
  <c r="G2" i="3" s="1"/>
  <c r="C8" i="4" l="1"/>
  <c r="C9" i="4" s="1"/>
  <c r="J9" i="4" s="1"/>
  <c r="B28" i="1"/>
  <c r="B10" i="1"/>
  <c r="B11" i="1"/>
  <c r="B12" i="1"/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C4" i="5" l="1"/>
  <c r="C3" i="5"/>
  <c r="D3" i="5" s="1"/>
  <c r="E3" i="5" s="1"/>
  <c r="F3" i="5" s="1"/>
  <c r="H3" i="5" s="1"/>
  <c r="J3" i="5" s="1"/>
  <c r="K3" i="5" s="1"/>
  <c r="C5" i="5" l="1"/>
  <c r="D4" i="5"/>
  <c r="G4" i="5" l="1"/>
  <c r="E4" i="5"/>
  <c r="F4" i="5" s="1"/>
  <c r="G3" i="5"/>
  <c r="N3" i="5" s="1"/>
  <c r="D5" i="5"/>
  <c r="C6" i="5"/>
  <c r="H4" i="5" l="1"/>
  <c r="E5" i="5"/>
  <c r="F5" i="5" s="1"/>
  <c r="O3" i="5"/>
  <c r="P3" i="5" s="1"/>
  <c r="Q3" i="5" s="1"/>
  <c r="G5" i="5"/>
  <c r="D6" i="5"/>
  <c r="E6" i="5" s="1"/>
  <c r="C7" i="5"/>
  <c r="F6" i="5" l="1"/>
  <c r="H5" i="5"/>
  <c r="J5" i="5" s="1"/>
  <c r="K5" i="5" s="1"/>
  <c r="J4" i="5"/>
  <c r="K4" i="5" s="1"/>
  <c r="N4" i="5"/>
  <c r="O4" i="5" s="1"/>
  <c r="S3" i="5"/>
  <c r="R3" i="5"/>
  <c r="C8" i="5"/>
  <c r="D7" i="5"/>
  <c r="G6" i="5"/>
  <c r="H6" i="5" l="1"/>
  <c r="J6" i="5" s="1"/>
  <c r="K6" i="5" s="1"/>
  <c r="E7" i="5"/>
  <c r="F7" i="5" s="1"/>
  <c r="P4" i="5"/>
  <c r="Q4" i="5" s="1"/>
  <c r="R4" i="5" s="1"/>
  <c r="N5" i="5"/>
  <c r="O5" i="5" s="1"/>
  <c r="P5" i="5" s="1"/>
  <c r="Q5" i="5" s="1"/>
  <c r="G7" i="5"/>
  <c r="D8" i="5"/>
  <c r="C9" i="5"/>
  <c r="R5" i="5" l="1"/>
  <c r="S4" i="5"/>
  <c r="S5" i="5" s="1"/>
  <c r="N6" i="5"/>
  <c r="H7" i="5"/>
  <c r="J7" i="5" s="1"/>
  <c r="K7" i="5" s="1"/>
  <c r="E8" i="5"/>
  <c r="F8" i="5" s="1"/>
  <c r="C10" i="5"/>
  <c r="G8" i="5"/>
  <c r="D9" i="5"/>
  <c r="N7" i="5" l="1"/>
  <c r="O7" i="5" s="1"/>
  <c r="P7" i="5" s="1"/>
  <c r="Q7" i="5" s="1"/>
  <c r="H8" i="5"/>
  <c r="J8" i="5" s="1"/>
  <c r="K8" i="5" s="1"/>
  <c r="O6" i="5"/>
  <c r="P6" i="5" s="1"/>
  <c r="Q6" i="5" s="1"/>
  <c r="E9" i="5"/>
  <c r="F9" i="5" s="1"/>
  <c r="G9" i="5"/>
  <c r="D10" i="5"/>
  <c r="C11" i="5"/>
  <c r="F10" i="5" l="1"/>
  <c r="H9" i="5"/>
  <c r="J9" i="5" s="1"/>
  <c r="K9" i="5" s="1"/>
  <c r="S6" i="5"/>
  <c r="S7" i="5" s="1"/>
  <c r="R6" i="5"/>
  <c r="R7" i="5" s="1"/>
  <c r="N8" i="5"/>
  <c r="D11" i="5"/>
  <c r="C12" i="5"/>
  <c r="G10" i="5"/>
  <c r="N9" i="5" l="1"/>
  <c r="O9" i="5" s="1"/>
  <c r="P9" i="5" s="1"/>
  <c r="Q9" i="5" s="1"/>
  <c r="O8" i="5"/>
  <c r="P8" i="5" s="1"/>
  <c r="S8" i="5" s="1"/>
  <c r="F11" i="5"/>
  <c r="H10" i="5"/>
  <c r="J10" i="5" s="1"/>
  <c r="K10" i="5" s="1"/>
  <c r="D12" i="5"/>
  <c r="C13" i="5"/>
  <c r="G11" i="5"/>
  <c r="S9" i="5" l="1"/>
  <c r="F12" i="5"/>
  <c r="H11" i="5"/>
  <c r="J11" i="5" s="1"/>
  <c r="K11" i="5" s="1"/>
  <c r="N10" i="5"/>
  <c r="D13" i="5"/>
  <c r="I13" i="5" s="1"/>
  <c r="C14" i="5"/>
  <c r="G12" i="5"/>
  <c r="F13" i="5" l="1"/>
  <c r="H12" i="5"/>
  <c r="J12" i="5" s="1"/>
  <c r="K12" i="5" s="1"/>
  <c r="O10" i="5"/>
  <c r="P10" i="5" s="1"/>
  <c r="Q10" i="5" s="1"/>
  <c r="N11" i="5"/>
  <c r="O11" i="5" s="1"/>
  <c r="P11" i="5" s="1"/>
  <c r="Q11" i="5" s="1"/>
  <c r="D14" i="5"/>
  <c r="I14" i="5" s="1"/>
  <c r="C15" i="5"/>
  <c r="G13" i="5"/>
  <c r="N12" i="5" l="1"/>
  <c r="S10" i="5"/>
  <c r="S11" i="5"/>
  <c r="F14" i="5"/>
  <c r="H13" i="5"/>
  <c r="J13" i="5" s="1"/>
  <c r="K13" i="5" s="1"/>
  <c r="O12" i="5"/>
  <c r="P12" i="5" s="1"/>
  <c r="Q12" i="5" s="1"/>
  <c r="D15" i="5"/>
  <c r="I15" i="5" s="1"/>
  <c r="C16" i="5"/>
  <c r="G14" i="5"/>
  <c r="S12" i="5" l="1"/>
  <c r="F15" i="5"/>
  <c r="H14" i="5"/>
  <c r="J14" i="5" s="1"/>
  <c r="K14" i="5" s="1"/>
  <c r="N13" i="5"/>
  <c r="D16" i="5"/>
  <c r="I16" i="5" s="1"/>
  <c r="C17" i="5"/>
  <c r="G15" i="5"/>
  <c r="N14" i="5" l="1"/>
  <c r="O14" i="5" s="1"/>
  <c r="P14" i="5" s="1"/>
  <c r="Q14" i="5" s="1"/>
  <c r="F16" i="5"/>
  <c r="H15" i="5"/>
  <c r="J15" i="5" s="1"/>
  <c r="K15" i="5" s="1"/>
  <c r="O13" i="5"/>
  <c r="P13" i="5" s="1"/>
  <c r="Q13" i="5" s="1"/>
  <c r="S13" i="5" s="1"/>
  <c r="D17" i="5"/>
  <c r="I17" i="5" s="1"/>
  <c r="C18" i="5"/>
  <c r="G16" i="5"/>
  <c r="F17" i="5" l="1"/>
  <c r="H16" i="5"/>
  <c r="J16" i="5" s="1"/>
  <c r="K16" i="5" s="1"/>
  <c r="S14" i="5"/>
  <c r="N15" i="5"/>
  <c r="D18" i="5"/>
  <c r="I18" i="5" s="1"/>
  <c r="C19" i="5"/>
  <c r="G17" i="5"/>
  <c r="F18" i="5" l="1"/>
  <c r="H17" i="5"/>
  <c r="J17" i="5" s="1"/>
  <c r="K17" i="5" s="1"/>
  <c r="O15" i="5"/>
  <c r="P15" i="5" s="1"/>
  <c r="Q15" i="5" s="1"/>
  <c r="S15" i="5" s="1"/>
  <c r="N16" i="5"/>
  <c r="D19" i="5"/>
  <c r="I19" i="5" s="1"/>
  <c r="C20" i="5"/>
  <c r="G18" i="5"/>
  <c r="F19" i="5" l="1"/>
  <c r="H18" i="5"/>
  <c r="J18" i="5" s="1"/>
  <c r="K18" i="5" s="1"/>
  <c r="O16" i="5"/>
  <c r="P16" i="5" s="1"/>
  <c r="Q16" i="5" s="1"/>
  <c r="S16" i="5" s="1"/>
  <c r="N17" i="5"/>
  <c r="D20" i="5"/>
  <c r="I20" i="5" s="1"/>
  <c r="C21" i="5"/>
  <c r="G19" i="5"/>
  <c r="F20" i="5" l="1"/>
  <c r="H19" i="5"/>
  <c r="J19" i="5" s="1"/>
  <c r="K19" i="5" s="1"/>
  <c r="O17" i="5"/>
  <c r="P17" i="5" s="1"/>
  <c r="Q17" i="5" s="1"/>
  <c r="S17" i="5" s="1"/>
  <c r="N18" i="5"/>
  <c r="D21" i="5"/>
  <c r="I21" i="5" s="1"/>
  <c r="C22" i="5"/>
  <c r="G20" i="5"/>
  <c r="F21" i="5" l="1"/>
  <c r="H20" i="5"/>
  <c r="J20" i="5" s="1"/>
  <c r="K20" i="5" s="1"/>
  <c r="O18" i="5"/>
  <c r="P18" i="5" s="1"/>
  <c r="Q18" i="5" s="1"/>
  <c r="S18" i="5" s="1"/>
  <c r="N19" i="5"/>
  <c r="D22" i="5"/>
  <c r="I22" i="5" s="1"/>
  <c r="C23" i="5"/>
  <c r="G21" i="5"/>
  <c r="F22" i="5" l="1"/>
  <c r="H21" i="5"/>
  <c r="J21" i="5" s="1"/>
  <c r="K21" i="5" s="1"/>
  <c r="O19" i="5"/>
  <c r="P19" i="5" s="1"/>
  <c r="Q19" i="5" s="1"/>
  <c r="S19" i="5" s="1"/>
  <c r="N20" i="5"/>
  <c r="D23" i="5"/>
  <c r="I23" i="5" s="1"/>
  <c r="C24" i="5"/>
  <c r="G22" i="5"/>
  <c r="F23" i="5" l="1"/>
  <c r="H22" i="5"/>
  <c r="J22" i="5" s="1"/>
  <c r="K22" i="5" s="1"/>
  <c r="O20" i="5"/>
  <c r="P20" i="5" s="1"/>
  <c r="Q20" i="5" s="1"/>
  <c r="S20" i="5" s="1"/>
  <c r="N21" i="5"/>
  <c r="D24" i="5"/>
  <c r="I24" i="5" s="1"/>
  <c r="C26" i="5"/>
  <c r="C25" i="5"/>
  <c r="G23" i="5"/>
  <c r="F24" i="5" l="1"/>
  <c r="H23" i="5"/>
  <c r="J23" i="5" s="1"/>
  <c r="K23" i="5" s="1"/>
  <c r="O21" i="5"/>
  <c r="P21" i="5" s="1"/>
  <c r="Q21" i="5" s="1"/>
  <c r="S21" i="5" s="1"/>
  <c r="N22" i="5"/>
  <c r="D25" i="5"/>
  <c r="I25" i="5" s="1"/>
  <c r="D26" i="5"/>
  <c r="I26" i="5" s="1"/>
  <c r="G24" i="5"/>
  <c r="F25" i="5" l="1"/>
  <c r="H24" i="5"/>
  <c r="J24" i="5" s="1"/>
  <c r="K24" i="5" s="1"/>
  <c r="O22" i="5"/>
  <c r="P22" i="5" s="1"/>
  <c r="Q22" i="5" s="1"/>
  <c r="S22" i="5" s="1"/>
  <c r="N23" i="5"/>
  <c r="G26" i="5"/>
  <c r="G25" i="5"/>
  <c r="F26" i="5" l="1"/>
  <c r="H26" i="5" s="1"/>
  <c r="J26" i="5" s="1"/>
  <c r="K26" i="5" s="1"/>
  <c r="H25" i="5"/>
  <c r="J25" i="5" s="1"/>
  <c r="K25" i="5" s="1"/>
  <c r="O23" i="5"/>
  <c r="P23" i="5" s="1"/>
  <c r="Q23" i="5" s="1"/>
  <c r="S23" i="5" s="1"/>
  <c r="N24" i="5"/>
  <c r="O24" i="5" l="1"/>
  <c r="P24" i="5" s="1"/>
  <c r="Q24" i="5" s="1"/>
  <c r="S24" i="5" s="1"/>
  <c r="N26" i="5"/>
  <c r="N25" i="5"/>
  <c r="O25" i="5" l="1"/>
  <c r="P25" i="5" s="1"/>
  <c r="Q25" i="5" s="1"/>
  <c r="S25" i="5" s="1"/>
  <c r="O26" i="5"/>
  <c r="P26" i="5" s="1"/>
  <c r="Q26" i="5" s="1"/>
  <c r="S26" i="5" l="1"/>
</calcChain>
</file>

<file path=xl/sharedStrings.xml><?xml version="1.0" encoding="utf-8"?>
<sst xmlns="http://schemas.openxmlformats.org/spreadsheetml/2006/main" count="185" uniqueCount="101">
  <si>
    <t>№пп</t>
  </si>
  <si>
    <t>Вводные данные</t>
  </si>
  <si>
    <t>ФИО</t>
  </si>
  <si>
    <t>Должность</t>
  </si>
  <si>
    <t>ФОТ</t>
  </si>
  <si>
    <t>Турдахов Даур</t>
  </si>
  <si>
    <t>Back-разработчик</t>
  </si>
  <si>
    <t>Сахов Жандос</t>
  </si>
  <si>
    <t>Аманкулов Даурен</t>
  </si>
  <si>
    <t>Front-разработчик</t>
  </si>
  <si>
    <t>Баймуханов Айбек</t>
  </si>
  <si>
    <t>QA-тестировщик</t>
  </si>
  <si>
    <t>Системный аналитик</t>
  </si>
  <si>
    <t>Вакансия</t>
  </si>
  <si>
    <t>Менеджер по продажам</t>
  </si>
  <si>
    <t>Flutter-разработчик</t>
  </si>
  <si>
    <t>Директор</t>
  </si>
  <si>
    <t>Дюсенбекова Динара</t>
  </si>
  <si>
    <t>Дизайнер</t>
  </si>
  <si>
    <t>Асылханова Дина</t>
  </si>
  <si>
    <t>Контент-менеджер</t>
  </si>
  <si>
    <t>Итого</t>
  </si>
  <si>
    <t>Сумма, тенге</t>
  </si>
  <si>
    <t>Бухгалтер, аутсорс</t>
  </si>
  <si>
    <t>Аренда офиса</t>
  </si>
  <si>
    <t>Аренда серверов</t>
  </si>
  <si>
    <t>Реклама Яндекс в месяц</t>
  </si>
  <si>
    <t>Реклама Google в месяц</t>
  </si>
  <si>
    <t>SEO-специалист</t>
  </si>
  <si>
    <t>Мешитбаева Айша</t>
  </si>
  <si>
    <t>Phyton-разработчик</t>
  </si>
  <si>
    <t>Реклама в Инстаграм</t>
  </si>
  <si>
    <t>Сеть</t>
  </si>
  <si>
    <t>Бюджет</t>
  </si>
  <si>
    <t>Конверсия</t>
  </si>
  <si>
    <t>Инстаграм</t>
  </si>
  <si>
    <t>Google</t>
  </si>
  <si>
    <t>Яндекс</t>
  </si>
  <si>
    <t>Средний СРМ/СРС</t>
  </si>
  <si>
    <t>Регистрации</t>
  </si>
  <si>
    <t>Кол-во кликов</t>
  </si>
  <si>
    <t>Регистраций из Инстаграм</t>
  </si>
  <si>
    <t>Регистраций из Google</t>
  </si>
  <si>
    <t>Регистраций из Яндекс</t>
  </si>
  <si>
    <t>Средний чек Рекламных услуг объявлений на сайте</t>
  </si>
  <si>
    <t>Конверсия покупки рекламных услуг объявлений на сайте</t>
  </si>
  <si>
    <t>План оттока клиентов из базы клиентов купивших VIP-SEO, в месяц</t>
  </si>
  <si>
    <t>Сумма кредита</t>
  </si>
  <si>
    <t>Годовая ставка</t>
  </si>
  <si>
    <t>Срок кредита (мес)</t>
  </si>
  <si>
    <t>Сумма ежем.выплат</t>
  </si>
  <si>
    <t>Общая сумма выплат</t>
  </si>
  <si>
    <t>Переплата</t>
  </si>
  <si>
    <t>План увеличения базы клиентов пришедших от Google</t>
  </si>
  <si>
    <t>План увеличения базы клиентов пришедших от Яндекс</t>
  </si>
  <si>
    <t>План увеличения базы клиентов пришедших от Инстаграм</t>
  </si>
  <si>
    <t>Запуск модуля Маркет и Мультиязычный мессенджер</t>
  </si>
  <si>
    <t>Конверсия покупки Рекламных пакетов в модуле Маркет на сайте</t>
  </si>
  <si>
    <t>Месяц</t>
  </si>
  <si>
    <t>Таргетолог</t>
  </si>
  <si>
    <t>План оттока клиентов из базы зарегистрированных клиентов</t>
  </si>
  <si>
    <t>Средний чек Рекламных пакетов для юр лиц в модуле Маркет на сайте</t>
  </si>
  <si>
    <t>Доля юр лиц на сайте от количества зарегистрировавшихся на сайте</t>
  </si>
  <si>
    <t>Юр. лица (10%)</t>
  </si>
  <si>
    <t>Доход от объявлений</t>
  </si>
  <si>
    <t>Доход от VIP-SEO</t>
  </si>
  <si>
    <t>Доход от Маркета (юр. лица)</t>
  </si>
  <si>
    <t>Общий доход</t>
  </si>
  <si>
    <t>Стоимость VIP-SEO продвижения аккаунта клиента в поисковых системах в месяц (12 месяцев работы)</t>
  </si>
  <si>
    <t>Расходы по проекту</t>
  </si>
  <si>
    <t>Ежемесячные выплаты</t>
  </si>
  <si>
    <t>Период</t>
  </si>
  <si>
    <t>Выплата кредита</t>
  </si>
  <si>
    <t>Выплата процентов</t>
  </si>
  <si>
    <t>Общая выплата</t>
  </si>
  <si>
    <t>Осталось выплатить</t>
  </si>
  <si>
    <t>Накопленный капитал</t>
  </si>
  <si>
    <t>Общие расходы</t>
  </si>
  <si>
    <t>Остаток ОД по кредиту</t>
  </si>
  <si>
    <t>Остаток инвестиций</t>
  </si>
  <si>
    <t>Первый транш</t>
  </si>
  <si>
    <t>Второй транш</t>
  </si>
  <si>
    <t>Инвестиции от частного инвестора 1-й транш</t>
  </si>
  <si>
    <t>Сумма ежем.выплат (первые 3 мес)</t>
  </si>
  <si>
    <t>Сумма ежем.выплат (остальные 7 мес)</t>
  </si>
  <si>
    <t>Выплата бонусов менеджерам продаж по VIP-SEO</t>
  </si>
  <si>
    <t>Бонусная программа за продажу пакетов VIP-SEO (от суммы продажи, но не более 1 млн)</t>
  </si>
  <si>
    <t>План продаж VIP-SEO на одного менеджера по продажам компаниям в месяц</t>
  </si>
  <si>
    <t>Налог ЗПЛ 22%</t>
  </si>
  <si>
    <t>На руки</t>
  </si>
  <si>
    <t>Фот (начиная с 13 месяца)</t>
  </si>
  <si>
    <t>Фот (первые 12 месяцев)</t>
  </si>
  <si>
    <t>Чистая Прибыль</t>
  </si>
  <si>
    <t>Итого активных клиентов за вычетом Оттока от регистраций ( - 15%)</t>
  </si>
  <si>
    <t>Итого клиентов VIP-SEO за вычетом Оттока клиентов VIP-SEO (15%)</t>
  </si>
  <si>
    <t>План продаж  VIP-SEO</t>
  </si>
  <si>
    <t>Начиная с 13 месяца</t>
  </si>
  <si>
    <t>Первые 12 месяцев</t>
  </si>
  <si>
    <t>Налогив Астана хаб 1% от суммы дохода</t>
  </si>
  <si>
    <t>Инвестиции от частного инвестора 2-й транш (получение 2-го транша в третьем месяце)</t>
  </si>
  <si>
    <t>Срок кредитной линии (мес)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</si>
</sst>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₽&quot;;[Red]\-#,##0.00\ &quot;₽&quot;"/>
    <numFmt numFmtId="164" formatCode="_-* #,##0.00\ _₸_-;\-* #,##0.00\ _₸_-;_-* &quot;-&quot;??\ _₸_-;_-@_-"/>
    <numFmt numFmtId="165" formatCode="_-* #,##0\ _₸_-;\-* #,##0\ _₸_-;_-* &quot;-&quot;??\ _₸_-;_-@_-"/>
    <numFmt numFmtId="166" formatCode="#,##0;[Red]#,##0"/>
    <numFmt numFmtId="167" formatCode="#,##0.00\ [$KZT];[Red]#,##0.00\ [$KZT]"/>
    <numFmt numFmtId="168" formatCode="#,##0.00\ [$KZT]"/>
    <numFmt numFmtId="169" formatCode="#,##0.00\ [$KZT];[Red]\-#,##0.00\ [$KZT]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/>
    <xf numFmtId="165" fontId="0" fillId="0" borderId="1" xfId="1" applyNumberFormat="1" applyFont="1" applyBorder="1"/>
    <xf numFmtId="0" fontId="0" fillId="0" borderId="0" xfId="0" applyAlignment="1">
      <alignment horizontal="center"/>
    </xf>
    <xf numFmtId="9" fontId="0" fillId="0" borderId="0" xfId="0" applyNumberFormat="1"/>
    <xf numFmtId="0" fontId="2" fillId="0" borderId="0" xfId="0" applyFon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5" fontId="0" fillId="0" borderId="1" xfId="1" applyNumberFormat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14" fontId="0" fillId="0" borderId="1" xfId="0" applyNumberFormat="1" applyBorder="1"/>
    <xf numFmtId="9" fontId="0" fillId="0" borderId="1" xfId="0" applyNumberFormat="1" applyBorder="1"/>
    <xf numFmtId="0" fontId="2" fillId="2" borderId="1" xfId="0" applyFont="1" applyFill="1" applyBorder="1"/>
    <xf numFmtId="165" fontId="0" fillId="0" borderId="1" xfId="0" applyNumberFormat="1" applyBorder="1"/>
    <xf numFmtId="0" fontId="4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5" fontId="2" fillId="0" borderId="1" xfId="1" applyNumberFormat="1" applyFont="1" applyBorder="1"/>
    <xf numFmtId="8" fontId="0" fillId="0" borderId="0" xfId="0" applyNumberFormat="1"/>
    <xf numFmtId="165" fontId="3" fillId="0" borderId="1" xfId="0" applyNumberFormat="1" applyFont="1" applyBorder="1"/>
    <xf numFmtId="166" fontId="3" fillId="0" borderId="1" xfId="0" applyNumberFormat="1" applyFont="1" applyBorder="1"/>
    <xf numFmtId="165" fontId="0" fillId="0" borderId="0" xfId="1" applyNumberFormat="1" applyFont="1" applyBorder="1"/>
    <xf numFmtId="165" fontId="6" fillId="0" borderId="1" xfId="0" applyNumberFormat="1" applyFont="1" applyBorder="1"/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1" fontId="0" fillId="0" borderId="1" xfId="2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left" vertical="top"/>
    </xf>
    <xf numFmtId="165" fontId="2" fillId="0" borderId="1" xfId="1" applyNumberFormat="1" applyFont="1" applyFill="1" applyBorder="1"/>
    <xf numFmtId="167" fontId="0" fillId="0" borderId="1" xfId="0" applyNumberFormat="1" applyBorder="1"/>
    <xf numFmtId="168" fontId="0" fillId="0" borderId="0" xfId="1" applyNumberFormat="1" applyFont="1"/>
    <xf numFmtId="169" fontId="0" fillId="0" borderId="0" xfId="0" applyNumberFormat="1"/>
    <xf numFmtId="167" fontId="0" fillId="0" borderId="0" xfId="0" applyNumberFormat="1"/>
    <xf numFmtId="0" fontId="2" fillId="0" borderId="1" xfId="0" applyFont="1" applyBorder="1" applyAlignment="1">
      <alignment horizontal="left" vertical="top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1"/>
  <sheetViews>
    <sheetView tabSelected="1" zoomScale="90" zoomScaleNormal="90" workbookViewId="0">
      <selection activeCell="H31" sqref="H31"/>
    </sheetView>
  </sheetViews>
  <sheetFormatPr defaultRowHeight="15" x14ac:dyDescent="0.25"/>
  <cols>
    <col min="1" max="1" width="7.42578125" style="2" customWidth="1"/>
    <col min="2" max="2" width="13.5703125" customWidth="1"/>
    <col min="3" max="3" width="13.7109375" customWidth="1"/>
    <col min="4" max="4" width="13.42578125" customWidth="1"/>
    <col min="5" max="5" width="8.85546875" customWidth="1"/>
    <col min="6" max="6" width="12" customWidth="1"/>
    <col min="7" max="7" width="16.5703125" customWidth="1"/>
    <col min="8" max="8" width="15.42578125" customWidth="1"/>
    <col min="9" max="9" width="18.5703125" customWidth="1"/>
    <col min="10" max="10" width="14" customWidth="1"/>
    <col min="11" max="11" width="13.85546875" customWidth="1"/>
    <col min="12" max="12" width="11.28515625" customWidth="1"/>
    <col min="13" max="13" width="13.5703125" customWidth="1"/>
    <col min="14" max="14" width="17.42578125" customWidth="1"/>
    <col min="15" max="15" width="14.5703125" customWidth="1"/>
    <col min="16" max="16" width="16" customWidth="1"/>
    <col min="17" max="17" width="17.42578125" customWidth="1"/>
    <col min="18" max="18" width="13.5703125" customWidth="1"/>
    <col min="19" max="19" width="17.7109375" customWidth="1"/>
  </cols>
  <sheetData>
    <row r="2" spans="1:19" s="24" customFormat="1" ht="89.25" x14ac:dyDescent="0.25">
      <c r="A2" s="23" t="s">
        <v>58</v>
      </c>
      <c r="B2" s="23" t="s">
        <v>39</v>
      </c>
      <c r="C2" s="23" t="s">
        <v>93</v>
      </c>
      <c r="D2" s="23" t="s">
        <v>63</v>
      </c>
      <c r="E2" s="23" t="s">
        <v>95</v>
      </c>
      <c r="F2" s="23" t="s">
        <v>94</v>
      </c>
      <c r="G2" s="23" t="s">
        <v>64</v>
      </c>
      <c r="H2" s="23" t="s">
        <v>65</v>
      </c>
      <c r="I2" s="23" t="s">
        <v>66</v>
      </c>
      <c r="J2" s="23" t="s">
        <v>85</v>
      </c>
      <c r="K2" s="23" t="s">
        <v>69</v>
      </c>
      <c r="L2" s="23" t="s">
        <v>70</v>
      </c>
      <c r="M2" s="23" t="s">
        <v>78</v>
      </c>
      <c r="N2" s="23" t="s">
        <v>67</v>
      </c>
      <c r="O2" s="23" t="s">
        <v>98</v>
      </c>
      <c r="P2" s="23" t="s">
        <v>77</v>
      </c>
      <c r="Q2" s="23" t="s">
        <v>92</v>
      </c>
      <c r="R2" s="23" t="s">
        <v>79</v>
      </c>
      <c r="S2" s="23" t="s">
        <v>76</v>
      </c>
    </row>
    <row r="3" spans="1:19" x14ac:dyDescent="0.25">
      <c r="A3" s="15">
        <v>1</v>
      </c>
      <c r="B3" s="9">
        <f>'Вводные данные'!B10+'Вводные данные'!B11+'Вводные данные'!B12</f>
        <v>844.90291262135918</v>
      </c>
      <c r="C3" s="9">
        <f>B3-(B3*'Вводные данные'!B$22)</f>
        <v>718.1674757281553</v>
      </c>
      <c r="D3" s="22">
        <f>C3*'Вводные данные'!B$25</f>
        <v>71.81674757281553</v>
      </c>
      <c r="E3" s="22">
        <f>D3*5%</f>
        <v>3.5908373786407766</v>
      </c>
      <c r="F3" s="22">
        <f>E3-(E3*'Вводные данные'!B$20)</f>
        <v>3.05221177184466</v>
      </c>
      <c r="G3" s="9">
        <f>((C3-D3)*'Вводные данные'!B$17)*'Вводные данные'!B$16</f>
        <v>80793.841019417465</v>
      </c>
      <c r="H3" s="22">
        <f>F3*'Вводные данные'!B$18</f>
        <v>1068274.120145631</v>
      </c>
      <c r="I3" s="9">
        <v>0</v>
      </c>
      <c r="J3" s="9">
        <f>MIN(H3*'Вводные данные'!B$21,1000000)</f>
        <v>10682.741201456311</v>
      </c>
      <c r="K3" s="22">
        <f>'Вводные данные'!B$2+'Вводные данные'!B$4+'Вводные данные'!B$5+'Вводные данные'!B$6+'Вводные данные'!B$7+'Вводные данные'!B$8+'Вводные данные'!B$9+J3</f>
        <v>19896580.177098889</v>
      </c>
      <c r="L3" s="28">
        <f>'Ежемесячный платеж инвестиций'!D13</f>
        <v>-5094897.8243394019</v>
      </c>
      <c r="M3" s="22">
        <f>'Ежемесячный платеж инвестиций'!E13</f>
        <v>50821768.842327267</v>
      </c>
      <c r="N3" s="22">
        <f>G3+H3+I3</f>
        <v>1149067.9611650484</v>
      </c>
      <c r="O3" s="22">
        <f>N3*1%</f>
        <v>11490.679611650485</v>
      </c>
      <c r="P3" s="30">
        <f>K3-L3+O3</f>
        <v>25002968.681049939</v>
      </c>
      <c r="Q3" s="27">
        <f>N3-P3</f>
        <v>-23853900.719884891</v>
      </c>
      <c r="R3" s="22">
        <f>'Ежемесячный платеж инвестиций'!C1+Q3</f>
        <v>31146099.280115109</v>
      </c>
      <c r="S3" s="22">
        <f>'Ежемесячный платеж инвестиций'!C1+Q3</f>
        <v>31146099.280115109</v>
      </c>
    </row>
    <row r="4" spans="1:19" x14ac:dyDescent="0.25">
      <c r="A4" s="15">
        <v>2</v>
      </c>
      <c r="B4" s="9">
        <f>B3+(B3*60%)</f>
        <v>1351.8446601941746</v>
      </c>
      <c r="C4" s="9">
        <f>B4-(B4*'Вводные данные'!B$22)</f>
        <v>1149.0679611650485</v>
      </c>
      <c r="D4" s="22">
        <f>C4*'Вводные данные'!B$25</f>
        <v>114.90679611650485</v>
      </c>
      <c r="E4" s="22">
        <f t="shared" ref="E4:E6" si="0">D4*5%</f>
        <v>5.7453398058252425</v>
      </c>
      <c r="F4" s="22">
        <f>(F3+E4)-'Вводные данные'!B$20</f>
        <v>8.647551577669903</v>
      </c>
      <c r="G4" s="9">
        <f>((C4-D4)*'Вводные данные'!B$17)*'Вводные данные'!B$16</f>
        <v>129270.14563106795</v>
      </c>
      <c r="H4" s="22">
        <f>F4*'Вводные данные'!B$18</f>
        <v>3026643.0521844663</v>
      </c>
      <c r="I4" s="9">
        <v>0</v>
      </c>
      <c r="J4" s="9">
        <f>MIN(H4*'Вводные данные'!B$21,1000000)</f>
        <v>30266.430521844664</v>
      </c>
      <c r="K4" s="22">
        <f>'Вводные данные'!B$2+'Вводные данные'!B$4+'Вводные данные'!B$5+'Вводные данные'!B$6+'Вводные данные'!B$7+'Вводные данные'!B$8+'Вводные данные'!B$9+J4</f>
        <v>19916163.866419278</v>
      </c>
      <c r="L4" s="28">
        <f>'Ежемесячный платеж инвестиций'!D14</f>
        <v>-5094897.824339401</v>
      </c>
      <c r="M4" s="22">
        <f>'Ежемесячный платеж инвестиций'!E14</f>
        <v>46573900.498693317</v>
      </c>
      <c r="N4" s="22">
        <f t="shared" ref="N4:N26" si="1">G4+H4+I4</f>
        <v>3155913.1978155342</v>
      </c>
      <c r="O4" s="22">
        <f t="shared" ref="O4:O26" si="2">N4*1%</f>
        <v>31559.131978155343</v>
      </c>
      <c r="P4" s="30">
        <f t="shared" ref="P4:P26" si="3">K4-L4+O4</f>
        <v>25042620.822736833</v>
      </c>
      <c r="Q4" s="27">
        <f t="shared" ref="Q4:Q26" si="4">N4-P4</f>
        <v>-21886707.6249213</v>
      </c>
      <c r="R4" s="22">
        <f>R3+Q4</f>
        <v>9259391.6551938094</v>
      </c>
      <c r="S4" s="22">
        <f>R3+Q4</f>
        <v>9259391.6551938094</v>
      </c>
    </row>
    <row r="5" spans="1:19" x14ac:dyDescent="0.25">
      <c r="A5" s="15">
        <v>3</v>
      </c>
      <c r="B5" s="9">
        <f t="shared" ref="B5:B26" si="5">B4+(B4*60%)</f>
        <v>2162.9514563106795</v>
      </c>
      <c r="C5" s="9">
        <f>B5-(B5*'Вводные данные'!B$22)</f>
        <v>1838.5087378640776</v>
      </c>
      <c r="D5" s="22">
        <f>C5*'Вводные данные'!B$25</f>
        <v>183.85087378640776</v>
      </c>
      <c r="E5" s="22">
        <f t="shared" si="0"/>
        <v>9.192543689320388</v>
      </c>
      <c r="F5" s="22">
        <f>(F4+E5)-'Вводные данные'!B$20</f>
        <v>17.690095266990291</v>
      </c>
      <c r="G5" s="9">
        <f>((C5-D5)*'Вводные данные'!B$17)*'Вводные данные'!B$16</f>
        <v>206832.23300970873</v>
      </c>
      <c r="H5" s="22">
        <f>F5*'Вводные данные'!B$18</f>
        <v>6191533.3434466021</v>
      </c>
      <c r="I5" s="9">
        <v>0</v>
      </c>
      <c r="J5" s="9">
        <f>MIN(H5*'Вводные данные'!B$21,1000000)</f>
        <v>61915.333434466025</v>
      </c>
      <c r="K5" s="22">
        <f>'Вводные данные'!B$2+'Вводные данные'!B$4+'Вводные данные'!B$5+'Вводные данные'!B$6+'Вводные данные'!B$7+'Вводные данные'!B$8+'Вводные данные'!B$9+J5</f>
        <v>19947812.769331899</v>
      </c>
      <c r="L5" s="28">
        <f>'Ежемесячный платеж инвестиций'!D15</f>
        <v>-5094897.8243394019</v>
      </c>
      <c r="M5" s="22">
        <f>'Ежемесячный платеж инвестиций'!E15</f>
        <v>42255234.349332139</v>
      </c>
      <c r="N5" s="22">
        <f t="shared" si="1"/>
        <v>6398365.5764563112</v>
      </c>
      <c r="O5" s="22">
        <f t="shared" si="2"/>
        <v>63983.655764563111</v>
      </c>
      <c r="P5" s="30">
        <f t="shared" si="3"/>
        <v>25106694.249435864</v>
      </c>
      <c r="Q5" s="27">
        <f t="shared" si="4"/>
        <v>-18708328.672979552</v>
      </c>
      <c r="R5" s="22">
        <f>R4+'Ежемесячный платеж инвестиций'!I1+Q5</f>
        <v>50551062.982214257</v>
      </c>
      <c r="S5" s="22">
        <f>S4+'Ежемесячный платеж инвестиций'!I1+Q5</f>
        <v>50551062.982214257</v>
      </c>
    </row>
    <row r="6" spans="1:19" x14ac:dyDescent="0.25">
      <c r="A6" s="15">
        <v>4</v>
      </c>
      <c r="B6" s="9">
        <f t="shared" si="5"/>
        <v>3460.7223300970873</v>
      </c>
      <c r="C6" s="9">
        <f>B6-(B6*'Вводные данные'!B$22)</f>
        <v>2941.6139805825242</v>
      </c>
      <c r="D6" s="22">
        <f>C6*'Вводные данные'!B$25</f>
        <v>294.16139805825242</v>
      </c>
      <c r="E6" s="22">
        <f t="shared" si="0"/>
        <v>14.708069902912621</v>
      </c>
      <c r="F6" s="22">
        <f>(F5+E6)-'Вводные данные'!B$20</f>
        <v>32.248165169902911</v>
      </c>
      <c r="G6" s="9">
        <f>((C6-D6)*'Вводные данные'!B$17)*'Вводные данные'!B$16</f>
        <v>330931.57281553396</v>
      </c>
      <c r="H6" s="22">
        <f>F6*'Вводные данные'!B$18</f>
        <v>11286857.809466019</v>
      </c>
      <c r="I6" s="9">
        <v>0</v>
      </c>
      <c r="J6" s="9">
        <f>MIN(H6*'Вводные данные'!B$21,1000000)</f>
        <v>112868.57809466019</v>
      </c>
      <c r="K6" s="22">
        <f>'Вводные данные'!B$2+'Вводные данные'!B$4+'Вводные данные'!B$5+'Вводные данные'!B$6+'Вводные данные'!B$7+'Вводные данные'!B$8+'Вводные данные'!B$9+J6</f>
        <v>19998766.013992094</v>
      </c>
      <c r="L6" s="28">
        <f>'Ежемесячный платеж инвестиций'!J13</f>
        <v>-9472363.1093405094</v>
      </c>
      <c r="M6" s="22">
        <f>'Ежемесячный платеж инвестиций'!K13</f>
        <v>94487125.145813838</v>
      </c>
      <c r="N6" s="22">
        <f t="shared" si="1"/>
        <v>11617789.382281553</v>
      </c>
      <c r="O6" s="22">
        <f t="shared" si="2"/>
        <v>116177.89382281553</v>
      </c>
      <c r="P6" s="30">
        <f t="shared" si="3"/>
        <v>29587307.01715542</v>
      </c>
      <c r="Q6" s="27">
        <f t="shared" si="4"/>
        <v>-17969517.634873867</v>
      </c>
      <c r="R6" s="22">
        <f>R5+Q6</f>
        <v>32581545.34734039</v>
      </c>
      <c r="S6" s="22">
        <f>S5+Q6</f>
        <v>32581545.34734039</v>
      </c>
    </row>
    <row r="7" spans="1:19" x14ac:dyDescent="0.25">
      <c r="A7" s="15">
        <v>5</v>
      </c>
      <c r="B7" s="9">
        <f t="shared" si="5"/>
        <v>5537.1557281553396</v>
      </c>
      <c r="C7" s="9">
        <f>B7-(B7*'Вводные данные'!B$22)</f>
        <v>4706.5823689320387</v>
      </c>
      <c r="D7" s="22">
        <f>C7*'Вводные данные'!B$25</f>
        <v>470.65823689320388</v>
      </c>
      <c r="E7" s="22">
        <f>D7*5%</f>
        <v>23.532911844660195</v>
      </c>
      <c r="F7" s="22">
        <f>(F6+E7)-'Вводные данные'!B$20</f>
        <v>55.631077014563111</v>
      </c>
      <c r="G7" s="9">
        <f>((C7-D7)*'Вводные данные'!B$17)*'Вводные данные'!B$16</f>
        <v>529490.51650485431</v>
      </c>
      <c r="H7" s="22">
        <f>F7*'Вводные данные'!B$18</f>
        <v>19470876.95509709</v>
      </c>
      <c r="I7" s="9">
        <v>0</v>
      </c>
      <c r="J7" s="9">
        <f>MIN(H7*'Вводные данные'!B$21,1000000)</f>
        <v>194708.7695509709</v>
      </c>
      <c r="K7" s="22">
        <f>'Вводные данные'!B$2+'Вводные данные'!B$4+'Вводные данные'!B$5+'Вводные данные'!B$6+'Вводные данные'!B$7+'Вводные данные'!B$8+'Вводные данные'!B$9+J7</f>
        <v>20080606.205448404</v>
      </c>
      <c r="L7" s="28">
        <f>'Ежемесячный платеж инвестиций'!J14</f>
        <v>-9472363.1093405094</v>
      </c>
      <c r="M7" s="22">
        <f>'Ежемесячный платеж инвестиций'!K14</f>
        <v>86589547.455570221</v>
      </c>
      <c r="N7" s="22">
        <f t="shared" si="1"/>
        <v>20000367.471601944</v>
      </c>
      <c r="O7" s="22">
        <f t="shared" si="2"/>
        <v>200003.67471601945</v>
      </c>
      <c r="P7" s="30">
        <f t="shared" si="3"/>
        <v>29752972.989504933</v>
      </c>
      <c r="Q7" s="27">
        <f t="shared" si="4"/>
        <v>-9752605.5179029889</v>
      </c>
      <c r="R7" s="22">
        <f>R6+Q7</f>
        <v>22828939.829437401</v>
      </c>
      <c r="S7" s="22">
        <f t="shared" ref="S7:S10" si="6">S6+Q7</f>
        <v>22828939.829437401</v>
      </c>
    </row>
    <row r="8" spans="1:19" x14ac:dyDescent="0.25">
      <c r="A8" s="15">
        <v>6</v>
      </c>
      <c r="B8" s="9">
        <f t="shared" si="5"/>
        <v>8859.4491650485434</v>
      </c>
      <c r="C8" s="9">
        <f>B8-(B8*'Вводные данные'!B$22)</f>
        <v>7530.531790291262</v>
      </c>
      <c r="D8" s="22">
        <f>C8*'Вводные данные'!B$25</f>
        <v>753.05317902912623</v>
      </c>
      <c r="E8" s="22">
        <f>D8*5%</f>
        <v>37.65265895145631</v>
      </c>
      <c r="F8" s="22">
        <f>(F7+E8)-'Вводные данные'!B$20</f>
        <v>93.133735966019415</v>
      </c>
      <c r="G8" s="9">
        <f>((C8-D8)*'Вводные данные'!B$17)*'Вводные данные'!B$16</f>
        <v>847184.82640776702</v>
      </c>
      <c r="H8" s="22">
        <f>F8*'Вводные данные'!B$18</f>
        <v>32596807.588106796</v>
      </c>
      <c r="I8" s="9">
        <v>0</v>
      </c>
      <c r="J8" s="9">
        <f>MIN(H8*'Вводные данные'!B$21,1000000)</f>
        <v>325968.07588106795</v>
      </c>
      <c r="K8" s="22">
        <f>'Вводные данные'!B$2+'Вводные данные'!B$4+'Вводные данные'!B$5+'Вводные данные'!B$6+'Вводные данные'!B$7+'Вводные данные'!B$8+'Вводные данные'!B$9+J8</f>
        <v>20211865.5117785</v>
      </c>
      <c r="L8" s="28">
        <f>'Ежемесячный платеж инвестиций'!J15</f>
        <v>-9472363.1093405094</v>
      </c>
      <c r="M8" s="22">
        <f>'Ежемесячный платеж инвестиций'!K15</f>
        <v>78560343.470489219</v>
      </c>
      <c r="N8" s="22">
        <f t="shared" si="1"/>
        <v>33443992.414514564</v>
      </c>
      <c r="O8" s="22">
        <f t="shared" si="2"/>
        <v>334439.92414514563</v>
      </c>
      <c r="P8" s="30">
        <f t="shared" si="3"/>
        <v>30018668.545264155</v>
      </c>
      <c r="Q8" s="30">
        <f>N8-P8</f>
        <v>3425323.8692504093</v>
      </c>
      <c r="R8" s="22"/>
      <c r="S8" s="22">
        <f>S7+Q8</f>
        <v>26254263.69868781</v>
      </c>
    </row>
    <row r="9" spans="1:19" x14ac:dyDescent="0.25">
      <c r="A9" s="15">
        <v>7</v>
      </c>
      <c r="B9" s="9">
        <f t="shared" si="5"/>
        <v>14175.118664077669</v>
      </c>
      <c r="C9" s="9">
        <f>B9-(B9*'Вводные данные'!B$22)</f>
        <v>12048.850864466018</v>
      </c>
      <c r="D9" s="22">
        <f>C9*'Вводные данные'!B$25</f>
        <v>1204.8850864466019</v>
      </c>
      <c r="E9" s="22">
        <f>D9*5%</f>
        <v>60.2442543223301</v>
      </c>
      <c r="F9" s="22">
        <f>(F8+E9)-'Вводные данные'!B$20</f>
        <v>153.2279902883495</v>
      </c>
      <c r="G9" s="9">
        <f>((C9-D9)*'Вводные данные'!B$17)*'Вводные данные'!B$16</f>
        <v>1355495.7222524271</v>
      </c>
      <c r="H9" s="22">
        <f>F9*'Вводные данные'!B$18</f>
        <v>53629796.600922324</v>
      </c>
      <c r="I9" s="9">
        <v>0</v>
      </c>
      <c r="J9" s="9">
        <f>MIN(H9*'Вводные данные'!B$21,1000000)</f>
        <v>536297.96600922325</v>
      </c>
      <c r="K9" s="22">
        <f>'Вводные данные'!B$2+'Вводные данные'!B$4+'Вводные данные'!B$5+'Вводные данные'!B$6+'Вводные данные'!B$7+'Вводные данные'!B$8+'Вводные данные'!B$9+J9</f>
        <v>20422195.401906654</v>
      </c>
      <c r="L9" s="28">
        <f>'Ежемесячный платеж инвестиций'!J16</f>
        <v>-9472363.1093405094</v>
      </c>
      <c r="M9" s="22">
        <f>'Ежемесячный платеж инвестиций'!K16</f>
        <v>70397319.418990195</v>
      </c>
      <c r="N9" s="22">
        <f t="shared" si="1"/>
        <v>54985292.323174752</v>
      </c>
      <c r="O9" s="22">
        <f t="shared" si="2"/>
        <v>549852.92323174758</v>
      </c>
      <c r="P9" s="30">
        <f t="shared" si="3"/>
        <v>30444411.434478913</v>
      </c>
      <c r="Q9" s="30">
        <f t="shared" si="4"/>
        <v>24540880.88869584</v>
      </c>
      <c r="R9" s="22"/>
      <c r="S9" s="22">
        <f t="shared" si="6"/>
        <v>50795144.58738365</v>
      </c>
    </row>
    <row r="10" spans="1:19" x14ac:dyDescent="0.25">
      <c r="A10" s="15">
        <v>8</v>
      </c>
      <c r="B10" s="9">
        <f t="shared" si="5"/>
        <v>22680.189862524268</v>
      </c>
      <c r="C10" s="9">
        <f>B10-(B10*'Вводные данные'!B$22)</f>
        <v>19278.161383145627</v>
      </c>
      <c r="D10" s="22">
        <f>C10*'Вводные данные'!B$25</f>
        <v>1927.8161383145627</v>
      </c>
      <c r="E10" s="22">
        <v>20</v>
      </c>
      <c r="F10" s="22">
        <f>(F9+E10)-'Вводные данные'!B$20</f>
        <v>173.0779902883495</v>
      </c>
      <c r="G10" s="9">
        <f>((C10-D10)*'Вводные данные'!B$17)*'Вводные данные'!B$16</f>
        <v>2168793.1556038829</v>
      </c>
      <c r="H10" s="22">
        <f>F10*'Вводные данные'!B$18</f>
        <v>60577296.600922324</v>
      </c>
      <c r="I10" s="9">
        <v>0</v>
      </c>
      <c r="J10" s="9">
        <f>MIN(H10*'Вводные данные'!B$21,2000000)</f>
        <v>605772.96600922325</v>
      </c>
      <c r="K10" s="22">
        <f>'Вводные данные'!B$2+'Вводные данные'!B$4+'Вводные данные'!B$5+'Вводные данные'!B$6+'Вводные данные'!B$7+'Вводные данные'!B$8+'Вводные данные'!B$9+J10</f>
        <v>20491670.401906654</v>
      </c>
      <c r="L10" s="28">
        <f>'Ежемесячный платеж инвестиций'!J17</f>
        <v>-9472363.1093405094</v>
      </c>
      <c r="M10" s="22">
        <f>'Ежемесячный платеж инвестиций'!K17</f>
        <v>62098244.966632858</v>
      </c>
      <c r="N10" s="22">
        <f t="shared" si="1"/>
        <v>62746089.756526209</v>
      </c>
      <c r="O10" s="22">
        <f t="shared" si="2"/>
        <v>627460.89756526216</v>
      </c>
      <c r="P10" s="30">
        <f t="shared" si="3"/>
        <v>30591494.408812426</v>
      </c>
      <c r="Q10" s="22">
        <f t="shared" si="4"/>
        <v>32154595.347713783</v>
      </c>
      <c r="R10" s="22"/>
      <c r="S10" s="22">
        <f t="shared" si="6"/>
        <v>82949739.935097426</v>
      </c>
    </row>
    <row r="11" spans="1:19" x14ac:dyDescent="0.25">
      <c r="A11" s="15">
        <v>9</v>
      </c>
      <c r="B11" s="9">
        <f t="shared" si="5"/>
        <v>36288.303780038827</v>
      </c>
      <c r="C11" s="9">
        <f>B11-(B11*'Вводные данные'!B$22)</f>
        <v>30845.058213033004</v>
      </c>
      <c r="D11" s="22">
        <f>C11*'Вводные данные'!B$25</f>
        <v>3084.5058213033008</v>
      </c>
      <c r="E11" s="22">
        <f>'Вводные данные'!B$19*2</f>
        <v>20</v>
      </c>
      <c r="F11" s="22">
        <f>(F10+E11)-'Вводные данные'!B$20</f>
        <v>192.92799028834949</v>
      </c>
      <c r="G11" s="9">
        <f>((C11-D11)*'Вводные данные'!B$17)*'Вводные данные'!B$16</f>
        <v>3470069.0489662131</v>
      </c>
      <c r="H11" s="22">
        <f>F11*'Вводные данные'!B$18</f>
        <v>67524796.600922316</v>
      </c>
      <c r="I11" s="9">
        <v>0</v>
      </c>
      <c r="J11" s="9">
        <f>MIN(H11*'Вводные данные'!B$21,2000000)</f>
        <v>675247.96600922314</v>
      </c>
      <c r="K11" s="22">
        <f>'Вводные данные'!B$2+'Вводные данные'!B$4+'Вводные данные'!B$5+'Вводные данные'!B$6+'Вводные данные'!B$7+'Вводные данные'!B$8+'Вводные данные'!B$9+J11</f>
        <v>20561145.401906654</v>
      </c>
      <c r="L11" s="28">
        <f>'Ежемесячный платеж инвестиций'!J18</f>
        <v>-9472363.1093405094</v>
      </c>
      <c r="M11" s="22">
        <f>'Ежемесячный платеж инвестиций'!K18</f>
        <v>53660852.606736228</v>
      </c>
      <c r="N11" s="22">
        <f t="shared" si="1"/>
        <v>70994865.64988853</v>
      </c>
      <c r="O11" s="22">
        <f t="shared" si="2"/>
        <v>709948.65649888536</v>
      </c>
      <c r="P11" s="30">
        <f t="shared" si="3"/>
        <v>30743457.167746052</v>
      </c>
      <c r="Q11" s="22">
        <f t="shared" si="4"/>
        <v>40251408.482142478</v>
      </c>
      <c r="R11" s="22"/>
      <c r="S11" s="22">
        <f>Q11+R10</f>
        <v>40251408.482142478</v>
      </c>
    </row>
    <row r="12" spans="1:19" x14ac:dyDescent="0.25">
      <c r="A12" s="15">
        <v>10</v>
      </c>
      <c r="B12" s="9">
        <f t="shared" si="5"/>
        <v>58061.286048062117</v>
      </c>
      <c r="C12" s="9">
        <f>B12-(B12*'Вводные данные'!B$22)</f>
        <v>49352.093140852798</v>
      </c>
      <c r="D12" s="22">
        <f>C12*'Вводные данные'!B$25</f>
        <v>4935.2093140852803</v>
      </c>
      <c r="E12" s="22">
        <f>'Вводные данные'!B$19*2</f>
        <v>20</v>
      </c>
      <c r="F12" s="22">
        <f>(F11+E12)-'Вводные данные'!B$20</f>
        <v>212.77799028834949</v>
      </c>
      <c r="G12" s="9">
        <f>((C12-D12)*'Вводные данные'!B$17)*'Вводные данные'!B$16</f>
        <v>5552110.4783459399</v>
      </c>
      <c r="H12" s="22">
        <f>F12*'Вводные данные'!B$18</f>
        <v>74472296.600922316</v>
      </c>
      <c r="I12" s="9">
        <v>0</v>
      </c>
      <c r="J12" s="9">
        <f>MIN(H12*'Вводные данные'!B$21,2000000)</f>
        <v>744722.96600922314</v>
      </c>
      <c r="K12" s="22">
        <f>'Вводные данные'!B$2+'Вводные данные'!B$4+'Вводные данные'!B$5+'Вводные данные'!B$6+'Вводные данные'!B$7+'Вводные данные'!B$8+'Вводные данные'!B$9+J12</f>
        <v>20630620.401906654</v>
      </c>
      <c r="L12" s="28">
        <f>'Ежемесячный платеж инвестиций'!J19</f>
        <v>-9472363.1093405094</v>
      </c>
      <c r="M12" s="22">
        <f>'Ежемесячный платеж инвестиций'!K19</f>
        <v>45082837.040841326</v>
      </c>
      <c r="N12" s="22">
        <f t="shared" si="1"/>
        <v>80024407.079268262</v>
      </c>
      <c r="O12" s="22">
        <f t="shared" si="2"/>
        <v>800244.07079268259</v>
      </c>
      <c r="P12" s="30">
        <f t="shared" si="3"/>
        <v>30903227.582039848</v>
      </c>
      <c r="Q12" s="22">
        <f t="shared" si="4"/>
        <v>49121179.497228414</v>
      </c>
      <c r="R12" s="22"/>
      <c r="S12" s="22">
        <f>S11+Q12</f>
        <v>89372587.979370892</v>
      </c>
    </row>
    <row r="13" spans="1:19" x14ac:dyDescent="0.25">
      <c r="A13" s="15">
        <v>11</v>
      </c>
      <c r="B13" s="9">
        <f t="shared" si="5"/>
        <v>92898.057676899392</v>
      </c>
      <c r="C13" s="9">
        <f>B13-(B13*'Вводные данные'!B$22)</f>
        <v>78963.349025364485</v>
      </c>
      <c r="D13" s="22">
        <f>C13*'Вводные данные'!B$25</f>
        <v>7896.3349025364487</v>
      </c>
      <c r="E13" s="22">
        <f>'Вводные данные'!B$19*2</f>
        <v>20</v>
      </c>
      <c r="F13" s="22">
        <f>(F12+E13)-'Вводные данные'!B$20</f>
        <v>232.62799028834948</v>
      </c>
      <c r="G13" s="9">
        <f>((C13-D13)*'Вводные данные'!B$17)*'Вводные данные'!B$16</f>
        <v>8883376.7653535046</v>
      </c>
      <c r="H13" s="22">
        <f>F13*'Вводные данные'!B$18</f>
        <v>81419796.600922316</v>
      </c>
      <c r="I13" s="9">
        <f>(D13*'Вводные данные'!B$26)*'Вводные данные'!B$24</f>
        <v>35561933.86706315</v>
      </c>
      <c r="J13" s="9">
        <f>MIN(H13*'Вводные данные'!B$21,2000000)</f>
        <v>814197.96600922314</v>
      </c>
      <c r="K13" s="22">
        <f>'Вводные данные'!B$3+'Вводные данные'!B$4+'Вводные данные'!B$5+'Вводные данные'!B$6+'Вводные данные'!B$7+'Вводные данные'!B$8+'Вводные данные'!B$9+J13</f>
        <v>25123172.324983574</v>
      </c>
      <c r="L13" s="28">
        <f>'Ежемесячный платеж инвестиций'!J20</f>
        <v>-9472363.1093405094</v>
      </c>
      <c r="M13" s="22">
        <f>'Ежемесячный платеж инвестиций'!K20</f>
        <v>36361854.548848175</v>
      </c>
      <c r="N13" s="22">
        <f t="shared" si="1"/>
        <v>125865107.23333897</v>
      </c>
      <c r="O13" s="22">
        <f t="shared" si="2"/>
        <v>1258651.0723333897</v>
      </c>
      <c r="P13" s="30">
        <f t="shared" si="3"/>
        <v>35854186.506657474</v>
      </c>
      <c r="Q13" s="22">
        <f t="shared" si="4"/>
        <v>90010920.726681501</v>
      </c>
      <c r="R13" s="22"/>
      <c r="S13" s="22">
        <f t="shared" ref="S13:S26" si="7">S12+Q13</f>
        <v>179383508.70605239</v>
      </c>
    </row>
    <row r="14" spans="1:19" x14ac:dyDescent="0.25">
      <c r="A14" s="15">
        <v>12</v>
      </c>
      <c r="B14" s="9">
        <f t="shared" si="5"/>
        <v>148636.89228303902</v>
      </c>
      <c r="C14" s="9">
        <f>B14-(B14*'Вводные данные'!B$22)</f>
        <v>126341.35844058316</v>
      </c>
      <c r="D14" s="22">
        <f>C14*'Вводные данные'!B$25</f>
        <v>12634.135844058317</v>
      </c>
      <c r="E14" s="22">
        <f>'Вводные данные'!B$19*2</f>
        <v>20</v>
      </c>
      <c r="F14" s="22">
        <f>(F13+E14)-'Вводные данные'!B$20</f>
        <v>252.47799028834947</v>
      </c>
      <c r="G14" s="9">
        <f>((C14-D14)*'Вводные данные'!B$17)*'Вводные данные'!B$16</f>
        <v>14213402.824565608</v>
      </c>
      <c r="H14" s="22">
        <f>F14*'Вводные данные'!B$18</f>
        <v>88367296.600922316</v>
      </c>
      <c r="I14" s="9">
        <f>(D14*'Вводные данные'!B$26)*'Вводные данные'!B$24</f>
        <v>56899094.18730104</v>
      </c>
      <c r="J14" s="9">
        <f>MIN(H14*'Вводные данные'!B$21,2000000)</f>
        <v>883672.96600922314</v>
      </c>
      <c r="K14" s="22">
        <f>'Вводные данные'!B$3+'Вводные данные'!B$4+'Вводные данные'!B$5+'Вводные данные'!B$6+'Вводные данные'!B$7+'Вводные данные'!B$8+'Вводные данные'!B$9+J14</f>
        <v>25192647.324983574</v>
      </c>
      <c r="L14" s="28">
        <f>'Ежемесячный платеж инвестиций'!J21</f>
        <v>-9472363.1093405094</v>
      </c>
      <c r="M14" s="22">
        <f>'Ежемесячный платеж инвестиций'!K21</f>
        <v>27495522.348655134</v>
      </c>
      <c r="N14" s="22">
        <f t="shared" si="1"/>
        <v>159479793.61278898</v>
      </c>
      <c r="O14" s="22">
        <f t="shared" si="2"/>
        <v>1594797.9361278899</v>
      </c>
      <c r="P14" s="30">
        <f t="shared" si="3"/>
        <v>36259808.370451972</v>
      </c>
      <c r="Q14" s="22">
        <f t="shared" si="4"/>
        <v>123219985.242337</v>
      </c>
      <c r="R14" s="22"/>
      <c r="S14" s="22">
        <f t="shared" si="7"/>
        <v>302603493.94838941</v>
      </c>
    </row>
    <row r="15" spans="1:19" x14ac:dyDescent="0.25">
      <c r="A15" s="15">
        <v>13</v>
      </c>
      <c r="B15" s="9">
        <f t="shared" si="5"/>
        <v>237819.02765286242</v>
      </c>
      <c r="C15" s="9">
        <f>B15-(B15*'Вводные данные'!B$22)</f>
        <v>202146.17350493307</v>
      </c>
      <c r="D15" s="22">
        <f>C15*'Вводные данные'!B$25</f>
        <v>20214.61735049331</v>
      </c>
      <c r="E15" s="22">
        <f>'Вводные данные'!B$19*4</f>
        <v>40</v>
      </c>
      <c r="F15" s="22">
        <f>(F14+E15)-'Вводные данные'!B$20</f>
        <v>292.3279902883495</v>
      </c>
      <c r="G15" s="9">
        <f>((C15-D15)*'Вводные данные'!B$17)*'Вводные данные'!B$16</f>
        <v>22741444.519304968</v>
      </c>
      <c r="H15" s="22">
        <f>F15*'Вводные данные'!B$18</f>
        <v>102314796.60092233</v>
      </c>
      <c r="I15" s="9">
        <f>(D15*'Вводные данные'!B$26)*'Вводные данные'!B$24</f>
        <v>91038550.699681669</v>
      </c>
      <c r="J15" s="9">
        <f>MIN(H15*'Вводные данные'!B$21,4000000)</f>
        <v>1023147.9660092234</v>
      </c>
      <c r="K15" s="22">
        <f>'Вводные данные'!B$3+'Вводные данные'!B$4+'Вводные данные'!B$5+'Вводные данные'!B$6+'Вводные данные'!B$7+'Вводные данные'!B$8+'Вводные данные'!B$9+J15</f>
        <v>25332122.324983574</v>
      </c>
      <c r="L15" s="28">
        <f>'Ежемесячный платеж инвестиций'!J22</f>
        <v>-9472363.1093405094</v>
      </c>
      <c r="M15" s="22">
        <f>'Ежемесячный платеж инвестиций'!K22</f>
        <v>18481417.94512555</v>
      </c>
      <c r="N15" s="22">
        <f t="shared" si="1"/>
        <v>216094791.81990898</v>
      </c>
      <c r="O15" s="22">
        <f t="shared" si="2"/>
        <v>2160947.9181990898</v>
      </c>
      <c r="P15" s="30">
        <f t="shared" si="3"/>
        <v>36965433.352523178</v>
      </c>
      <c r="Q15" s="22">
        <f t="shared" si="4"/>
        <v>179129358.4673858</v>
      </c>
      <c r="R15" s="22"/>
      <c r="S15" s="22">
        <f t="shared" si="7"/>
        <v>481732852.41577518</v>
      </c>
    </row>
    <row r="16" spans="1:19" x14ac:dyDescent="0.25">
      <c r="A16" s="15">
        <v>14</v>
      </c>
      <c r="B16" s="9">
        <f t="shared" si="5"/>
        <v>380510.44424457988</v>
      </c>
      <c r="C16" s="9">
        <f>B16-(B16*'Вводные данные'!B$22)</f>
        <v>323433.87760789291</v>
      </c>
      <c r="D16" s="22">
        <f>C16*'Вводные данные'!B$25</f>
        <v>32343.387760789294</v>
      </c>
      <c r="E16" s="22">
        <f>'Вводные данные'!B$19*4</f>
        <v>40</v>
      </c>
      <c r="F16" s="22">
        <f>(F15+E16)-'Вводные данные'!B$20</f>
        <v>332.17799028834952</v>
      </c>
      <c r="G16" s="9">
        <f>((C16-D16)*'Вводные данные'!B$17)*'Вводные данные'!B$16</f>
        <v>36386311.230887949</v>
      </c>
      <c r="H16" s="22">
        <f>F16*'Вводные данные'!B$18</f>
        <v>116262296.60092233</v>
      </c>
      <c r="I16" s="9">
        <f>(D16*'Вводные данные'!B$26)*'Вводные данные'!B$24</f>
        <v>145661681.11949068</v>
      </c>
      <c r="J16" s="9">
        <f>MIN(H16*'Вводные данные'!B$21,4000000)</f>
        <v>1162622.9660092234</v>
      </c>
      <c r="K16" s="22">
        <f>'Вводные данные'!B$3+'Вводные данные'!B$4+'Вводные данные'!B$5+'Вводные данные'!B$6+'Вводные данные'!B$7+'Вводные данные'!B$8+'Вводные данные'!B$9+J16</f>
        <v>25471597.324983574</v>
      </c>
      <c r="L16" s="28">
        <f>'Ежемесячный платеж инвестиций'!J23</f>
        <v>-9472363.1093405075</v>
      </c>
      <c r="M16" s="22">
        <f>'Ежемесячный платеж инвестиций'!K23</f>
        <v>9317078.4682037979</v>
      </c>
      <c r="N16" s="22">
        <f t="shared" si="1"/>
        <v>298310288.95130098</v>
      </c>
      <c r="O16" s="22">
        <f t="shared" si="2"/>
        <v>2983102.8895130097</v>
      </c>
      <c r="P16" s="30">
        <f t="shared" si="3"/>
        <v>37927063.323837094</v>
      </c>
      <c r="Q16" s="22">
        <f t="shared" si="4"/>
        <v>260383225.62746388</v>
      </c>
      <c r="R16" s="22"/>
      <c r="S16" s="22">
        <f t="shared" si="7"/>
        <v>742116078.04323912</v>
      </c>
    </row>
    <row r="17" spans="1:19" x14ac:dyDescent="0.25">
      <c r="A17" s="15">
        <v>15</v>
      </c>
      <c r="B17" s="9">
        <f t="shared" si="5"/>
        <v>608816.71079132776</v>
      </c>
      <c r="C17" s="9">
        <f>B17-(B17*'Вводные данные'!B$22)</f>
        <v>517494.20417262858</v>
      </c>
      <c r="D17" s="22">
        <f>C17*'Вводные данные'!B$25</f>
        <v>51749.42041726286</v>
      </c>
      <c r="E17" s="22">
        <f>'Вводные данные'!B$19*4</f>
        <v>40</v>
      </c>
      <c r="F17" s="22">
        <f>(F16+E17)-'Вводные данные'!B$20</f>
        <v>372.02799028834954</v>
      </c>
      <c r="G17" s="9">
        <f>((C17-D17)*'Вводные данные'!B$17)*'Вводные данные'!B$16</f>
        <v>58218097.969420716</v>
      </c>
      <c r="H17" s="22">
        <f>F17*'Вводные данные'!B$18</f>
        <v>130209796.60092235</v>
      </c>
      <c r="I17" s="9">
        <f>(D17*'Вводные данные'!B$26)*'Вводные данные'!B$24</f>
        <v>233058689.79118505</v>
      </c>
      <c r="J17" s="9">
        <f>MIN(H17*'Вводные данные'!B$21,4000000)</f>
        <v>1302097.9660092236</v>
      </c>
      <c r="K17" s="22">
        <f>'Вводные данные'!B$3+'Вводные данные'!B$4+'Вводные данные'!B$5+'Вводные данные'!B$6+'Вводные данные'!B$7+'Вводные данные'!B$8+'Вводные данные'!B$9+J17</f>
        <v>25611072.324983574</v>
      </c>
      <c r="L17" s="28">
        <f>'Ежемесячный платеж инвестиций'!J24</f>
        <v>-9472363.1093405094</v>
      </c>
      <c r="M17" s="22">
        <f>'Ежемесячный платеж инвестиций'!K24</f>
        <v>0</v>
      </c>
      <c r="N17" s="22">
        <f t="shared" si="1"/>
        <v>421486584.36152816</v>
      </c>
      <c r="O17" s="22">
        <f t="shared" si="2"/>
        <v>4214865.8436152814</v>
      </c>
      <c r="P17" s="30">
        <f t="shared" si="3"/>
        <v>39298301.277939364</v>
      </c>
      <c r="Q17" s="22">
        <f t="shared" si="4"/>
        <v>382188283.08358878</v>
      </c>
      <c r="R17" s="22"/>
      <c r="S17" s="22">
        <f t="shared" si="7"/>
        <v>1124304361.126828</v>
      </c>
    </row>
    <row r="18" spans="1:19" x14ac:dyDescent="0.25">
      <c r="A18" s="15">
        <v>16</v>
      </c>
      <c r="B18" s="9">
        <f t="shared" si="5"/>
        <v>974106.73726612446</v>
      </c>
      <c r="C18" s="9">
        <f>B18-(B18*'Вводные данные'!B$22)</f>
        <v>827990.72667620576</v>
      </c>
      <c r="D18" s="22">
        <f>C18*'Вводные данные'!B$25</f>
        <v>82799.072667620581</v>
      </c>
      <c r="E18" s="22">
        <f>'Вводные данные'!B$19*4</f>
        <v>40</v>
      </c>
      <c r="F18" s="22">
        <f>(F17+E18)-'Вводные данные'!B$20</f>
        <v>411.87799028834957</v>
      </c>
      <c r="G18" s="9">
        <f>((C18-D18)*'Вводные данные'!B$17)*'Вводные данные'!B$16</f>
        <v>93148956.751073152</v>
      </c>
      <c r="H18" s="22">
        <f>F18*'Вводные данные'!B$18</f>
        <v>144157296.60092235</v>
      </c>
      <c r="I18" s="9">
        <f>(D18*'Вводные данные'!B$26)*'Вводные данные'!B$24</f>
        <v>372893903.66589606</v>
      </c>
      <c r="J18" s="9">
        <f>MIN(H18*'Вводные данные'!B$21,4000000)</f>
        <v>1441572.9660092236</v>
      </c>
      <c r="K18" s="22">
        <f>'Вводные данные'!B$3+'Вводные данные'!B$4+'Вводные данные'!B$5+'Вводные данные'!B$6+'Вводные данные'!B$7+'Вводные данные'!B$8+'Вводные данные'!B$9+J18</f>
        <v>25750547.324983574</v>
      </c>
      <c r="L18" s="22">
        <f>'Ежемесячный платеж инвестиций'!J25</f>
        <v>0</v>
      </c>
      <c r="M18" s="22">
        <f>'Ежемесячный платеж инвестиций'!K25</f>
        <v>0</v>
      </c>
      <c r="N18" s="22">
        <f t="shared" si="1"/>
        <v>610200157.01789153</v>
      </c>
      <c r="O18" s="22">
        <f t="shared" si="2"/>
        <v>6102001.5701789157</v>
      </c>
      <c r="P18" s="30">
        <f t="shared" si="3"/>
        <v>31852548.895162489</v>
      </c>
      <c r="Q18" s="22">
        <f t="shared" si="4"/>
        <v>578347608.12272906</v>
      </c>
      <c r="R18" s="22"/>
      <c r="S18" s="22">
        <f t="shared" si="7"/>
        <v>1702651969.249557</v>
      </c>
    </row>
    <row r="19" spans="1:19" x14ac:dyDescent="0.25">
      <c r="A19" s="15">
        <v>17</v>
      </c>
      <c r="B19" s="9">
        <f t="shared" si="5"/>
        <v>1558570.779625799</v>
      </c>
      <c r="C19" s="9">
        <f>B19-(B19*'Вводные данные'!B$22)</f>
        <v>1324785.1626819293</v>
      </c>
      <c r="D19" s="22">
        <f>C19*'Вводные данные'!B$25</f>
        <v>132478.51626819294</v>
      </c>
      <c r="E19" s="22">
        <f>'Вводные данные'!B$19*4</f>
        <v>40</v>
      </c>
      <c r="F19" s="22">
        <f>(F18+E19)-'Вводные данные'!B$20</f>
        <v>451.72799028834959</v>
      </c>
      <c r="G19" s="9">
        <f>((C19-D19)*'Вводные данные'!B$17)*'Вводные данные'!B$16</f>
        <v>149038330.80171704</v>
      </c>
      <c r="H19" s="22">
        <f>F19*'Вводные данные'!B$18</f>
        <v>158104796.60092235</v>
      </c>
      <c r="I19" s="9">
        <f>(D19*'Вводные данные'!B$26)*'Вводные данные'!B$24</f>
        <v>596630245.86543381</v>
      </c>
      <c r="J19" s="9">
        <f>MIN(H19*'Вводные данные'!B$21,4000000)</f>
        <v>1581047.9660092236</v>
      </c>
      <c r="K19" s="22">
        <f>'Вводные данные'!B$3+'Вводные данные'!B$4+'Вводные данные'!B$5+'Вводные данные'!B$6+'Вводные данные'!B$7+'Вводные данные'!B$8+'Вводные данные'!B$9+J19</f>
        <v>25890022.324983574</v>
      </c>
      <c r="L19" s="22">
        <f>'Ежемесячный платеж инвестиций'!J26</f>
        <v>0</v>
      </c>
      <c r="M19" s="22">
        <f>'Ежемесячный платеж инвестиций'!K26</f>
        <v>0</v>
      </c>
      <c r="N19" s="22">
        <f t="shared" si="1"/>
        <v>903773373.2680732</v>
      </c>
      <c r="O19" s="22">
        <f t="shared" si="2"/>
        <v>9037733.7326807324</v>
      </c>
      <c r="P19" s="30">
        <f t="shared" si="3"/>
        <v>34927756.057664305</v>
      </c>
      <c r="Q19" s="22">
        <f t="shared" si="4"/>
        <v>868845617.21040893</v>
      </c>
      <c r="R19" s="22"/>
      <c r="S19" s="22">
        <f t="shared" si="7"/>
        <v>2571497586.4599657</v>
      </c>
    </row>
    <row r="20" spans="1:19" x14ac:dyDescent="0.25">
      <c r="A20" s="15">
        <v>18</v>
      </c>
      <c r="B20" s="9">
        <f t="shared" si="5"/>
        <v>2493713.2474012785</v>
      </c>
      <c r="C20" s="9">
        <f>B20-(B20*'Вводные данные'!B$22)</f>
        <v>2119656.2602910865</v>
      </c>
      <c r="D20" s="22">
        <f>C20*'Вводные данные'!B$25</f>
        <v>211965.62602910865</v>
      </c>
      <c r="E20" s="22">
        <f>'Вводные данные'!B$19*4</f>
        <v>40</v>
      </c>
      <c r="F20" s="22">
        <f>(F19+E20)-'Вводные данные'!B$20</f>
        <v>491.57799028834961</v>
      </c>
      <c r="G20" s="9">
        <f>((C20-D20)*'Вводные данные'!B$17)*'Вводные данные'!B$16</f>
        <v>238461329.28274724</v>
      </c>
      <c r="H20" s="22">
        <f>F20*'Вводные данные'!B$18</f>
        <v>172052296.60092238</v>
      </c>
      <c r="I20" s="9">
        <f>(D20*'Вводные данные'!B$26)*'Вводные данные'!B$24</f>
        <v>954608393.38469386</v>
      </c>
      <c r="J20" s="9">
        <f>MIN(H20*'Вводные данные'!B$21,4000000)</f>
        <v>1720522.9660092238</v>
      </c>
      <c r="K20" s="22">
        <f>'Вводные данные'!B$3+'Вводные данные'!B$4+'Вводные данные'!B$5+'Вводные данные'!B$6+'Вводные данные'!B$7+'Вводные данные'!B$8+'Вводные данные'!B$9+J20</f>
        <v>26029497.324983574</v>
      </c>
      <c r="L20" s="22">
        <f>'Ежемесячный платеж инвестиций'!J27</f>
        <v>0</v>
      </c>
      <c r="M20" s="22">
        <f>'Ежемесячный платеж инвестиций'!K27</f>
        <v>0</v>
      </c>
      <c r="N20" s="22">
        <f t="shared" si="1"/>
        <v>1365122019.2683635</v>
      </c>
      <c r="O20" s="22">
        <f t="shared" si="2"/>
        <v>13651220.192683635</v>
      </c>
      <c r="P20" s="30">
        <f t="shared" si="3"/>
        <v>39680717.517667212</v>
      </c>
      <c r="Q20" s="22">
        <f t="shared" si="4"/>
        <v>1325441301.7506962</v>
      </c>
      <c r="R20" s="22"/>
      <c r="S20" s="22">
        <f t="shared" si="7"/>
        <v>3896938888.2106619</v>
      </c>
    </row>
    <row r="21" spans="1:19" x14ac:dyDescent="0.25">
      <c r="A21" s="15">
        <v>19</v>
      </c>
      <c r="B21" s="9">
        <f t="shared" si="5"/>
        <v>3989941.1958420454</v>
      </c>
      <c r="C21" s="9">
        <f>B21-(B21*'Вводные данные'!B$22)</f>
        <v>3391450.0164657384</v>
      </c>
      <c r="D21" s="22">
        <f>C21*'Вводные данные'!B$25</f>
        <v>339145.00164657389</v>
      </c>
      <c r="E21" s="22">
        <f>'Вводные данные'!B$19*4</f>
        <v>40</v>
      </c>
      <c r="F21" s="22">
        <f>(F20+E21)-'Вводные данные'!B$20</f>
        <v>531.42799028834963</v>
      </c>
      <c r="G21" s="9">
        <f>((C21-D21)*'Вводные данные'!B$17)*'Вводные данные'!B$16</f>
        <v>381538126.85239559</v>
      </c>
      <c r="H21" s="22">
        <f>F21*'Вводные данные'!B$18</f>
        <v>185999796.60092238</v>
      </c>
      <c r="I21" s="9">
        <f>(D21*'Вводные данные'!B$26)*'Вводные данные'!B$24</f>
        <v>1527373429.4155102</v>
      </c>
      <c r="J21" s="9">
        <f>MIN(H21*'Вводные данные'!B$21,4000000)</f>
        <v>1859997.9660092238</v>
      </c>
      <c r="K21" s="22">
        <f>'Вводные данные'!B$3+'Вводные данные'!B$4+'Вводные данные'!B$5+'Вводные данные'!B$6+'Вводные данные'!B$7+'Вводные данные'!B$8+'Вводные данные'!B$9+J21</f>
        <v>26168972.324983574</v>
      </c>
      <c r="L21" s="22">
        <f>'Ежемесячный платеж инвестиций'!J28</f>
        <v>0</v>
      </c>
      <c r="M21" s="22">
        <f>'Ежемесячный платеж инвестиций'!K28</f>
        <v>0</v>
      </c>
      <c r="N21" s="22">
        <f t="shared" si="1"/>
        <v>2094911352.8688283</v>
      </c>
      <c r="O21" s="22">
        <f t="shared" si="2"/>
        <v>20949113.528688282</v>
      </c>
      <c r="P21" s="30">
        <f t="shared" si="3"/>
        <v>47118085.853671856</v>
      </c>
      <c r="Q21" s="22">
        <f t="shared" si="4"/>
        <v>2047793267.0151565</v>
      </c>
      <c r="R21" s="22"/>
      <c r="S21" s="22">
        <f t="shared" si="7"/>
        <v>5944732155.2258186</v>
      </c>
    </row>
    <row r="22" spans="1:19" x14ac:dyDescent="0.25">
      <c r="A22" s="15">
        <v>20</v>
      </c>
      <c r="B22" s="9">
        <f t="shared" si="5"/>
        <v>6383905.9133472722</v>
      </c>
      <c r="C22" s="9">
        <f>B22-(B22*'Вводные данные'!B$22)</f>
        <v>5426320.0263451813</v>
      </c>
      <c r="D22" s="22">
        <f>C22*'Вводные данные'!B$25</f>
        <v>542632.0026345182</v>
      </c>
      <c r="E22" s="22">
        <f>'Вводные данные'!B$19*4</f>
        <v>40</v>
      </c>
      <c r="F22" s="22">
        <f>(F21+E22)-'Вводные данные'!B$20</f>
        <v>571.27799028834966</v>
      </c>
      <c r="G22" s="9">
        <f>((C22-D22)*'Вводные данные'!B$17)*'Вводные данные'!B$16</f>
        <v>610461002.96383297</v>
      </c>
      <c r="H22" s="22">
        <f>F22*'Вводные данные'!B$18</f>
        <v>199947296.60092238</v>
      </c>
      <c r="I22" s="9">
        <f>(D22*'Вводные данные'!B$26)*'Вводные данные'!B$24</f>
        <v>2443797487.064816</v>
      </c>
      <c r="J22" s="9">
        <f>MIN(H22*'Вводные данные'!B$21,4000000)</f>
        <v>1999472.9660092238</v>
      </c>
      <c r="K22" s="22">
        <f>'Вводные данные'!B$3+'Вводные данные'!B$4+'Вводные данные'!B$5+'Вводные данные'!B$6+'Вводные данные'!B$7+'Вводные данные'!B$8+'Вводные данные'!B$9+J22</f>
        <v>26308447.324983574</v>
      </c>
      <c r="L22" s="22">
        <f>'Ежемесячный платеж инвестиций'!J29</f>
        <v>0</v>
      </c>
      <c r="M22" s="22">
        <f>'Ежемесячный платеж инвестиций'!K29</f>
        <v>0</v>
      </c>
      <c r="N22" s="22">
        <f t="shared" si="1"/>
        <v>3254205786.6295714</v>
      </c>
      <c r="O22" s="22">
        <f t="shared" si="2"/>
        <v>32542057.866295714</v>
      </c>
      <c r="P22" s="30">
        <f t="shared" si="3"/>
        <v>58850505.191279292</v>
      </c>
      <c r="Q22" s="22">
        <f t="shared" si="4"/>
        <v>3195355281.438292</v>
      </c>
      <c r="R22" s="22"/>
      <c r="S22" s="22">
        <f t="shared" si="7"/>
        <v>9140087436.6641102</v>
      </c>
    </row>
    <row r="23" spans="1:19" x14ac:dyDescent="0.25">
      <c r="A23" s="15">
        <v>21</v>
      </c>
      <c r="B23" s="9">
        <f t="shared" si="5"/>
        <v>10214249.461355636</v>
      </c>
      <c r="C23" s="9">
        <f>B23-(B23*'Вводные данные'!B$22)</f>
        <v>8682112.0421522912</v>
      </c>
      <c r="D23" s="22">
        <f>C23*'Вводные данные'!B$25</f>
        <v>868211.20421522914</v>
      </c>
      <c r="E23" s="22">
        <f>'Вводные данные'!B$19*4</f>
        <v>40</v>
      </c>
      <c r="F23" s="22">
        <f>(F22+E23)-'Вводные данные'!B$20</f>
        <v>611.12799028834968</v>
      </c>
      <c r="G23" s="9">
        <f>((C23-D23)*'Вводные данные'!B$17)*'Вводные данные'!B$16</f>
        <v>976737604.74213278</v>
      </c>
      <c r="H23" s="22">
        <f>F23*'Вводные данные'!B$18</f>
        <v>213894796.60092238</v>
      </c>
      <c r="I23" s="9">
        <f>(D23*'Вводные данные'!B$26)*'Вводные данные'!B$24</f>
        <v>3910075979.3037062</v>
      </c>
      <c r="J23" s="9">
        <f>MIN(H23*'Вводные данные'!B$21,4000000)</f>
        <v>2138947.9660092238</v>
      </c>
      <c r="K23" s="22">
        <f>'Вводные данные'!B$3+'Вводные данные'!B$4+'Вводные данные'!B$5+'Вводные данные'!B$6+'Вводные данные'!B$7+'Вводные данные'!B$8+'Вводные данные'!B$9+J23</f>
        <v>26447922.324983574</v>
      </c>
      <c r="L23" s="22">
        <f>'Ежемесячный платеж инвестиций'!J30</f>
        <v>0</v>
      </c>
      <c r="M23" s="22">
        <f>'Ежемесячный платеж инвестиций'!K30</f>
        <v>0</v>
      </c>
      <c r="N23" s="22">
        <f t="shared" si="1"/>
        <v>5100708380.6467609</v>
      </c>
      <c r="O23" s="22">
        <f t="shared" si="2"/>
        <v>51007083.806467608</v>
      </c>
      <c r="P23" s="30">
        <f t="shared" si="3"/>
        <v>77455006.13145119</v>
      </c>
      <c r="Q23" s="22">
        <f t="shared" si="4"/>
        <v>5023253374.5153093</v>
      </c>
      <c r="R23" s="22"/>
      <c r="S23" s="22">
        <f t="shared" si="7"/>
        <v>14163340811.17942</v>
      </c>
    </row>
    <row r="24" spans="1:19" x14ac:dyDescent="0.25">
      <c r="A24" s="15">
        <v>22</v>
      </c>
      <c r="B24" s="9">
        <f t="shared" si="5"/>
        <v>16342799.138169017</v>
      </c>
      <c r="C24" s="9">
        <f>B24-(B24*'Вводные данные'!B$22)</f>
        <v>13891379.267443664</v>
      </c>
      <c r="D24" s="22">
        <f>C24*'Вводные данные'!B$25</f>
        <v>1389137.9267443665</v>
      </c>
      <c r="E24" s="22">
        <f>'Вводные данные'!B$19*4</f>
        <v>40</v>
      </c>
      <c r="F24" s="22">
        <f>(F23+E24)-'Вводные данные'!B$20</f>
        <v>650.9779902883497</v>
      </c>
      <c r="G24" s="9">
        <f>((C24-D24)*'Вводные данные'!B$17)*'Вводные данные'!B$16</f>
        <v>1562780167.5874124</v>
      </c>
      <c r="H24" s="22">
        <f>F24*'Вводные данные'!B$18</f>
        <v>227842296.60092241</v>
      </c>
      <c r="I24" s="9">
        <f>(D24*'Вводные данные'!B$26)*'Вводные данные'!B$24</f>
        <v>6256121566.8859291</v>
      </c>
      <c r="J24" s="9">
        <f>MIN(H24*'Вводные данные'!B$21,4000000)</f>
        <v>2278422.9660092243</v>
      </c>
      <c r="K24" s="22">
        <f>'Вводные данные'!B$3+'Вводные данные'!B$4+'Вводные данные'!B$5+'Вводные данные'!B$6+'Вводные данные'!B$7+'Вводные данные'!B$8+'Вводные данные'!B$9+J24</f>
        <v>26587397.324983578</v>
      </c>
      <c r="L24" s="22">
        <f>'Ежемесячный платеж инвестиций'!J31</f>
        <v>0</v>
      </c>
      <c r="M24" s="22">
        <f>'Ежемесячный платеж инвестиций'!K31</f>
        <v>0</v>
      </c>
      <c r="N24" s="22">
        <f t="shared" si="1"/>
        <v>8046744031.0742636</v>
      </c>
      <c r="O24" s="22">
        <f t="shared" si="2"/>
        <v>80467440.310742632</v>
      </c>
      <c r="P24" s="30">
        <f t="shared" si="3"/>
        <v>107054837.63572621</v>
      </c>
      <c r="Q24" s="22">
        <f t="shared" si="4"/>
        <v>7939689193.4385376</v>
      </c>
      <c r="R24" s="22"/>
      <c r="S24" s="22">
        <f t="shared" si="7"/>
        <v>22103030004.617958</v>
      </c>
    </row>
    <row r="25" spans="1:19" x14ac:dyDescent="0.25">
      <c r="A25" s="15">
        <v>23</v>
      </c>
      <c r="B25" s="9">
        <f t="shared" si="5"/>
        <v>26148478.621070426</v>
      </c>
      <c r="C25" s="9">
        <f>B25-(B25*'Вводные данные'!B$22)</f>
        <v>22226206.827909861</v>
      </c>
      <c r="D25" s="22">
        <f>C25*'Вводные данные'!B$25</f>
        <v>2222620.6827909863</v>
      </c>
      <c r="E25" s="22">
        <f>'Вводные данные'!B$19*4</f>
        <v>40</v>
      </c>
      <c r="F25" s="22">
        <f>(F24+E25)-'Вводные данные'!B$20</f>
        <v>690.82799028834972</v>
      </c>
      <c r="G25" s="9">
        <f>((C25-D25)*'Вводные данные'!B$17)*'Вводные данные'!B$16</f>
        <v>2500448268.1398592</v>
      </c>
      <c r="H25" s="22">
        <f>F25*'Вводные данные'!B$18</f>
        <v>241789796.60092241</v>
      </c>
      <c r="I25" s="9">
        <f>(D25*'Вводные данные'!B$26)*'Вводные данные'!B$24</f>
        <v>10009794507.017487</v>
      </c>
      <c r="J25" s="9">
        <f>MIN(H25*'Вводные данные'!B$21,4000000)</f>
        <v>2417897.9660092243</v>
      </c>
      <c r="K25" s="22">
        <f>'Вводные данные'!B$3+'Вводные данные'!B$4+'Вводные данные'!B$5+'Вводные данные'!B$6+'Вводные данные'!B$7+'Вводные данные'!B$8+'Вводные данные'!B$9+J25</f>
        <v>26726872.324983578</v>
      </c>
      <c r="L25" s="22">
        <f>'Ежемесячный платеж инвестиций'!J32</f>
        <v>0</v>
      </c>
      <c r="M25" s="22">
        <f>'Ежемесячный платеж инвестиций'!K32</f>
        <v>0</v>
      </c>
      <c r="N25" s="22">
        <f t="shared" si="1"/>
        <v>12752032571.758268</v>
      </c>
      <c r="O25" s="22">
        <f t="shared" si="2"/>
        <v>127520325.71758269</v>
      </c>
      <c r="P25" s="30">
        <f t="shared" si="3"/>
        <v>154247198.04256627</v>
      </c>
      <c r="Q25" s="22">
        <f t="shared" si="4"/>
        <v>12597785373.715702</v>
      </c>
      <c r="R25" s="22"/>
      <c r="S25" s="22">
        <f t="shared" si="7"/>
        <v>34700815378.333664</v>
      </c>
    </row>
    <row r="26" spans="1:19" x14ac:dyDescent="0.25">
      <c r="A26" s="15">
        <v>24</v>
      </c>
      <c r="B26" s="9">
        <f t="shared" si="5"/>
        <v>41837565.793712683</v>
      </c>
      <c r="C26" s="9">
        <f>B26-(B26*'Вводные данные'!B$22)</f>
        <v>35561930.92465578</v>
      </c>
      <c r="D26" s="22">
        <f>C26*'Вводные данные'!B$25</f>
        <v>3556193.0924655781</v>
      </c>
      <c r="E26" s="22">
        <f>'Вводные данные'!B$19*4</f>
        <v>40</v>
      </c>
      <c r="F26" s="22">
        <f>(F25+E26)-'Вводные данные'!B$20</f>
        <v>730.67799028834975</v>
      </c>
      <c r="G26" s="9">
        <f>((C26-D26)*'Вводные данные'!B$17)*'Вводные данные'!B$16</f>
        <v>4000717229.0237756</v>
      </c>
      <c r="H26" s="22">
        <f>F26*'Вводные данные'!B$18</f>
        <v>255737296.60092241</v>
      </c>
      <c r="I26" s="9">
        <f>(D26*'Вводные данные'!B$26)*'Вводные данные'!B$24</f>
        <v>16015671211.227978</v>
      </c>
      <c r="J26" s="9">
        <f>MIN(H26*'Вводные данные'!B$21,4000000)</f>
        <v>2557372.9660092243</v>
      </c>
      <c r="K26" s="22">
        <f>'Вводные данные'!B$3+'Вводные данные'!B$4+'Вводные данные'!B$5+'Вводные данные'!B$6+'Вводные данные'!B$7+'Вводные данные'!B$8+'Вводные данные'!B$9+J26</f>
        <v>26866347.324983578</v>
      </c>
      <c r="L26" s="22">
        <f>'Ежемесячный платеж инвестиций'!J33</f>
        <v>0</v>
      </c>
      <c r="M26" s="22">
        <f>'Ежемесячный платеж инвестиций'!K33</f>
        <v>0</v>
      </c>
      <c r="N26" s="22">
        <f t="shared" si="1"/>
        <v>20272125736.852676</v>
      </c>
      <c r="O26" s="22">
        <f t="shared" si="2"/>
        <v>202721257.36852676</v>
      </c>
      <c r="P26" s="30">
        <f t="shared" si="3"/>
        <v>229587604.69351032</v>
      </c>
      <c r="Q26" s="22">
        <f t="shared" si="4"/>
        <v>20042538132.159164</v>
      </c>
      <c r="R26" s="22"/>
      <c r="S26" s="22">
        <f t="shared" si="7"/>
        <v>54743353510.492828</v>
      </c>
    </row>
    <row r="28" spans="1:19" x14ac:dyDescent="0.25">
      <c r="H28" s="13"/>
    </row>
    <row r="29" spans="1:19" x14ac:dyDescent="0.25">
      <c r="M29" s="1"/>
      <c r="N29" s="1"/>
      <c r="O29" s="1"/>
      <c r="P29" s="1"/>
      <c r="Q29" s="29"/>
      <c r="R29" s="29"/>
      <c r="S29" s="29"/>
    </row>
    <row r="30" spans="1:19" x14ac:dyDescent="0.25">
      <c r="M30" s="1"/>
      <c r="N30" s="1"/>
      <c r="O30" s="1"/>
      <c r="P30" s="13"/>
      <c r="Q30" s="29"/>
      <c r="R30" s="29"/>
      <c r="S30" s="29"/>
    </row>
    <row r="31" spans="1:19" x14ac:dyDescent="0.25">
      <c r="M31" s="1"/>
      <c r="N31" s="1"/>
      <c r="O31" s="1"/>
      <c r="P31" s="1"/>
      <c r="Q31" s="29"/>
      <c r="R31" s="29"/>
      <c r="S31" s="2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>
      <selection activeCell="F29" sqref="F29"/>
    </sheetView>
  </sheetViews>
  <sheetFormatPr defaultRowHeight="15" x14ac:dyDescent="0.25"/>
  <cols>
    <col min="1" max="1" width="66.7109375" customWidth="1"/>
    <col min="2" max="2" width="23.28515625" customWidth="1"/>
  </cols>
  <sheetData>
    <row r="1" spans="1:3" x14ac:dyDescent="0.25">
      <c r="A1" s="21" t="s">
        <v>1</v>
      </c>
      <c r="B1" s="21" t="s">
        <v>22</v>
      </c>
    </row>
    <row r="2" spans="1:3" x14ac:dyDescent="0.25">
      <c r="A2" s="16" t="s">
        <v>91</v>
      </c>
      <c r="B2" s="17">
        <f>ФОТ!D23</f>
        <v>9935897.4358974323</v>
      </c>
      <c r="C2" s="1"/>
    </row>
    <row r="3" spans="1:3" x14ac:dyDescent="0.25">
      <c r="A3" s="16" t="s">
        <v>90</v>
      </c>
      <c r="B3" s="17">
        <f>ФОТ!K28</f>
        <v>14358974.358974354</v>
      </c>
      <c r="C3" s="1"/>
    </row>
    <row r="4" spans="1:3" x14ac:dyDescent="0.25">
      <c r="A4" s="16" t="s">
        <v>23</v>
      </c>
      <c r="B4" s="17">
        <v>150000</v>
      </c>
    </row>
    <row r="5" spans="1:3" x14ac:dyDescent="0.25">
      <c r="A5" s="16" t="s">
        <v>24</v>
      </c>
      <c r="B5" s="17">
        <v>1500000</v>
      </c>
    </row>
    <row r="6" spans="1:3" x14ac:dyDescent="0.25">
      <c r="A6" s="16" t="s">
        <v>25</v>
      </c>
      <c r="B6" s="17">
        <v>300000</v>
      </c>
    </row>
    <row r="7" spans="1:3" x14ac:dyDescent="0.25">
      <c r="A7" s="16" t="s">
        <v>27</v>
      </c>
      <c r="B7" s="17">
        <f>'Расчеты коверсий'!C2</f>
        <v>3500000</v>
      </c>
    </row>
    <row r="8" spans="1:3" x14ac:dyDescent="0.25">
      <c r="A8" s="16" t="s">
        <v>26</v>
      </c>
      <c r="B8" s="17">
        <f>'Расчеты коверсий'!C3</f>
        <v>3500000</v>
      </c>
    </row>
    <row r="9" spans="1:3" x14ac:dyDescent="0.25">
      <c r="A9" s="16" t="s">
        <v>31</v>
      </c>
      <c r="B9" s="17">
        <f>'Расчеты коверсий'!C4</f>
        <v>1000000</v>
      </c>
    </row>
    <row r="10" spans="1:3" x14ac:dyDescent="0.25">
      <c r="A10" s="16" t="s">
        <v>42</v>
      </c>
      <c r="B10" s="17">
        <f>'Расчеты коверсий'!G2</f>
        <v>169.90291262135921</v>
      </c>
    </row>
    <row r="11" spans="1:3" x14ac:dyDescent="0.25">
      <c r="A11" s="16" t="s">
        <v>43</v>
      </c>
      <c r="B11" s="17">
        <f>'Расчеты коверсий'!G3</f>
        <v>175</v>
      </c>
    </row>
    <row r="12" spans="1:3" x14ac:dyDescent="0.25">
      <c r="A12" s="16" t="s">
        <v>41</v>
      </c>
      <c r="B12" s="17">
        <f>'Расчеты коверсий'!G4</f>
        <v>500</v>
      </c>
    </row>
    <row r="13" spans="1:3" x14ac:dyDescent="0.25">
      <c r="A13" s="16" t="s">
        <v>53</v>
      </c>
      <c r="B13" s="18">
        <v>0.3</v>
      </c>
    </row>
    <row r="14" spans="1:3" x14ac:dyDescent="0.25">
      <c r="A14" s="16" t="s">
        <v>54</v>
      </c>
      <c r="B14" s="18">
        <v>0.3</v>
      </c>
    </row>
    <row r="15" spans="1:3" x14ac:dyDescent="0.25">
      <c r="A15" s="16" t="s">
        <v>55</v>
      </c>
      <c r="B15" s="18">
        <v>0.3</v>
      </c>
    </row>
    <row r="16" spans="1:3" x14ac:dyDescent="0.25">
      <c r="A16" s="16" t="s">
        <v>44</v>
      </c>
      <c r="B16" s="17">
        <v>2500</v>
      </c>
    </row>
    <row r="17" spans="1:2" x14ac:dyDescent="0.25">
      <c r="A17" s="16" t="s">
        <v>45</v>
      </c>
      <c r="B17" s="18">
        <v>0.05</v>
      </c>
    </row>
    <row r="18" spans="1:2" ht="30" x14ac:dyDescent="0.25">
      <c r="A18" s="16" t="s">
        <v>68</v>
      </c>
      <c r="B18" s="17">
        <v>350000</v>
      </c>
    </row>
    <row r="19" spans="1:2" ht="30" x14ac:dyDescent="0.25">
      <c r="A19" s="16" t="s">
        <v>87</v>
      </c>
      <c r="B19" s="34">
        <v>10</v>
      </c>
    </row>
    <row r="20" spans="1:2" x14ac:dyDescent="0.25">
      <c r="A20" s="16" t="s">
        <v>46</v>
      </c>
      <c r="B20" s="18">
        <v>0.15</v>
      </c>
    </row>
    <row r="21" spans="1:2" ht="32.25" customHeight="1" x14ac:dyDescent="0.25">
      <c r="A21" s="16" t="s">
        <v>86</v>
      </c>
      <c r="B21" s="18">
        <v>0.01</v>
      </c>
    </row>
    <row r="22" spans="1:2" x14ac:dyDescent="0.25">
      <c r="A22" s="16" t="s">
        <v>60</v>
      </c>
      <c r="B22" s="18">
        <v>0.15</v>
      </c>
    </row>
    <row r="23" spans="1:2" x14ac:dyDescent="0.25">
      <c r="A23" s="16" t="s">
        <v>56</v>
      </c>
      <c r="B23" s="19">
        <v>45931</v>
      </c>
    </row>
    <row r="24" spans="1:2" ht="18.75" customHeight="1" x14ac:dyDescent="0.25">
      <c r="A24" s="16" t="s">
        <v>61</v>
      </c>
      <c r="B24" s="17">
        <v>225180</v>
      </c>
    </row>
    <row r="25" spans="1:2" x14ac:dyDescent="0.25">
      <c r="A25" s="16" t="s">
        <v>62</v>
      </c>
      <c r="B25" s="18">
        <v>0.1</v>
      </c>
    </row>
    <row r="26" spans="1:2" x14ac:dyDescent="0.25">
      <c r="A26" s="16" t="s">
        <v>57</v>
      </c>
      <c r="B26" s="20">
        <v>0.02</v>
      </c>
    </row>
    <row r="27" spans="1:2" x14ac:dyDescent="0.25">
      <c r="A27" s="16" t="s">
        <v>82</v>
      </c>
      <c r="B27" s="37">
        <f>'Ежемесячный платеж инвестиций'!C3</f>
        <v>55000000</v>
      </c>
    </row>
    <row r="28" spans="1:2" x14ac:dyDescent="0.25">
      <c r="A28" s="8" t="s">
        <v>83</v>
      </c>
      <c r="B28" s="37">
        <f>'Ежемесячный платеж инвестиций'!C7</f>
        <v>-5094897.8243394019</v>
      </c>
    </row>
    <row r="29" spans="1:2" ht="30" x14ac:dyDescent="0.25">
      <c r="A29" s="16" t="s">
        <v>99</v>
      </c>
      <c r="B29" s="37">
        <f>'Ежемесячный платеж инвестиций'!I1</f>
        <v>60000000</v>
      </c>
    </row>
    <row r="30" spans="1:2" x14ac:dyDescent="0.25">
      <c r="A30" s="8" t="s">
        <v>84</v>
      </c>
      <c r="B30" s="37">
        <f>'Ежемесячный платеж инвестиций'!J13</f>
        <v>-9472363.1093405094</v>
      </c>
    </row>
    <row r="31" spans="1:2" x14ac:dyDescent="0.25">
      <c r="A31" s="16" t="s">
        <v>100</v>
      </c>
      <c r="B31" s="8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workbookViewId="0">
      <selection activeCell="E33" sqref="E33"/>
    </sheetView>
  </sheetViews>
  <sheetFormatPr defaultRowHeight="15" x14ac:dyDescent="0.25"/>
  <cols>
    <col min="1" max="1" width="9.140625" style="2"/>
    <col min="2" max="2" width="23.85546875" customWidth="1"/>
    <col min="3" max="3" width="18.7109375" customWidth="1"/>
    <col min="4" max="4" width="17.140625" customWidth="1"/>
    <col min="5" max="5" width="20" customWidth="1"/>
    <col min="7" max="7" width="16" customWidth="1"/>
    <col min="8" max="8" width="20.85546875" customWidth="1"/>
    <col min="9" max="9" width="23.140625" customWidth="1"/>
    <col min="10" max="10" width="21.140625" customWidth="1"/>
    <col min="11" max="11" width="21.5703125" customWidth="1"/>
  </cols>
  <sheetData>
    <row r="1" spans="1:11" x14ac:dyDescent="0.25">
      <c r="B1" t="s">
        <v>80</v>
      </c>
      <c r="C1" s="1">
        <v>55000000</v>
      </c>
      <c r="H1" t="s">
        <v>81</v>
      </c>
      <c r="I1" s="1">
        <v>60000000</v>
      </c>
    </row>
    <row r="3" spans="1:11" x14ac:dyDescent="0.25">
      <c r="B3" t="s">
        <v>47</v>
      </c>
      <c r="C3" s="38">
        <v>55000000</v>
      </c>
      <c r="G3" s="2"/>
      <c r="H3" t="s">
        <v>47</v>
      </c>
      <c r="I3" s="38">
        <f>E15+'Ежемесячный платеж инвестиций'!I1</f>
        <v>102255234.34933214</v>
      </c>
    </row>
    <row r="4" spans="1:11" x14ac:dyDescent="0.25">
      <c r="B4" t="s">
        <v>48</v>
      </c>
      <c r="C4" s="11">
        <v>0.2</v>
      </c>
      <c r="G4" s="2"/>
      <c r="H4" t="s">
        <v>48</v>
      </c>
      <c r="I4" s="11">
        <v>0.2</v>
      </c>
    </row>
    <row r="5" spans="1:11" x14ac:dyDescent="0.25">
      <c r="B5" t="s">
        <v>49</v>
      </c>
      <c r="C5">
        <v>12</v>
      </c>
      <c r="G5" s="2"/>
      <c r="H5" t="s">
        <v>49</v>
      </c>
      <c r="I5">
        <v>12</v>
      </c>
    </row>
    <row r="6" spans="1:11" x14ac:dyDescent="0.25">
      <c r="C6" s="1"/>
      <c r="G6" s="2"/>
      <c r="I6" s="1"/>
    </row>
    <row r="7" spans="1:11" x14ac:dyDescent="0.25">
      <c r="B7" t="s">
        <v>50</v>
      </c>
      <c r="C7" s="40">
        <f>PMT(C4/12,C5,C3,0,0)</f>
        <v>-5094897.8243394019</v>
      </c>
      <c r="G7" s="2"/>
      <c r="H7" t="s">
        <v>50</v>
      </c>
      <c r="I7" s="40">
        <f>PMT(I4/12,I5,I3,0,0)</f>
        <v>-9472363.1093405094</v>
      </c>
    </row>
    <row r="8" spans="1:11" x14ac:dyDescent="0.25">
      <c r="B8" t="s">
        <v>51</v>
      </c>
      <c r="C8" s="40">
        <f>C7*C5</f>
        <v>-61138773.892072827</v>
      </c>
      <c r="G8" s="2"/>
      <c r="H8" t="s">
        <v>51</v>
      </c>
      <c r="I8" s="40">
        <f>I7*I5</f>
        <v>-113668357.31208611</v>
      </c>
    </row>
    <row r="9" spans="1:11" x14ac:dyDescent="0.25">
      <c r="B9" t="s">
        <v>52</v>
      </c>
      <c r="C9" s="40">
        <f>C8+C3</f>
        <v>-6138773.8920728266</v>
      </c>
      <c r="G9" s="2"/>
      <c r="H9" t="s">
        <v>52</v>
      </c>
      <c r="I9" s="40">
        <f>I8+I3</f>
        <v>-11413122.962753966</v>
      </c>
      <c r="J9" s="40">
        <f>I9+C9</f>
        <v>-17551896.854826793</v>
      </c>
    </row>
    <row r="10" spans="1:11" x14ac:dyDescent="0.25">
      <c r="G10" s="2"/>
    </row>
    <row r="11" spans="1:11" x14ac:dyDescent="0.25">
      <c r="G11" s="2"/>
    </row>
    <row r="12" spans="1:11" x14ac:dyDescent="0.25">
      <c r="A12" s="2" t="s">
        <v>71</v>
      </c>
      <c r="B12" t="s">
        <v>72</v>
      </c>
      <c r="C12" t="s">
        <v>73</v>
      </c>
      <c r="D12" t="s">
        <v>74</v>
      </c>
      <c r="E12" t="s">
        <v>75</v>
      </c>
      <c r="G12" s="2" t="s">
        <v>71</v>
      </c>
      <c r="H12" t="s">
        <v>72</v>
      </c>
      <c r="I12" t="s">
        <v>73</v>
      </c>
      <c r="J12" t="s">
        <v>74</v>
      </c>
      <c r="K12" t="s">
        <v>75</v>
      </c>
    </row>
    <row r="13" spans="1:11" x14ac:dyDescent="0.25">
      <c r="A13" s="2">
        <v>1</v>
      </c>
      <c r="B13" s="39">
        <f>PPMT(C$4/12,A13,C$5,C$3,0,0)</f>
        <v>-4178231.1576727349</v>
      </c>
      <c r="C13" s="39">
        <f>IPMT(C$4/12,A13,C$5,C$3,0,0)</f>
        <v>-916666.66666666663</v>
      </c>
      <c r="D13" s="39">
        <f>B13+C13</f>
        <v>-5094897.8243394019</v>
      </c>
      <c r="E13" s="38">
        <f>C$3+SUM(B$13:B13)</f>
        <v>50821768.842327267</v>
      </c>
      <c r="G13" s="2">
        <v>1</v>
      </c>
      <c r="H13" s="39">
        <f>PPMT(I$4/12,G13,I$5,I$3,0,0)</f>
        <v>-7768109.2035183068</v>
      </c>
      <c r="I13" s="39">
        <f>IPMT(I$4/12,G13,I$5,I$3,0,0)</f>
        <v>-1704253.9058222023</v>
      </c>
      <c r="J13" s="39">
        <f>H13+I13</f>
        <v>-9472363.1093405094</v>
      </c>
      <c r="K13" s="38">
        <f>I$3+SUM(H$13:H13)</f>
        <v>94487125.145813838</v>
      </c>
    </row>
    <row r="14" spans="1:11" x14ac:dyDescent="0.25">
      <c r="A14" s="2">
        <v>2</v>
      </c>
      <c r="B14" s="39">
        <f t="shared" ref="B14:B24" si="0">PPMT(C$4/12,A14,C$5,C$3,0,0)</f>
        <v>-4247868.343633947</v>
      </c>
      <c r="C14" s="39">
        <f t="shared" ref="C14:C24" si="1">IPMT(C$4/12,A14,C$5,C$3,0,0)</f>
        <v>-847029.48070545448</v>
      </c>
      <c r="D14" s="39">
        <f t="shared" ref="D14:D24" si="2">B14+C14</f>
        <v>-5094897.824339401</v>
      </c>
      <c r="E14" s="38">
        <f>C$3+SUM(B$13:B14)</f>
        <v>46573900.498693317</v>
      </c>
      <c r="G14" s="2">
        <v>2</v>
      </c>
      <c r="H14" s="39">
        <f t="shared" ref="H14:H24" si="3">PPMT(I$4/12,G14,I$5,I$3,0,0)</f>
        <v>-7897577.690243612</v>
      </c>
      <c r="I14" s="39">
        <f t="shared" ref="I14:I19" si="4">IPMT(I$4/12,G14,I$5,I$3,0,0)</f>
        <v>-1574785.4190968974</v>
      </c>
      <c r="J14" s="39">
        <f t="shared" ref="J14:J19" si="5">H14+I14</f>
        <v>-9472363.1093405094</v>
      </c>
      <c r="K14" s="38">
        <f>I$3+SUM(H$13:H14)</f>
        <v>86589547.455570221</v>
      </c>
    </row>
    <row r="15" spans="1:11" x14ac:dyDescent="0.25">
      <c r="A15" s="2">
        <v>3</v>
      </c>
      <c r="B15" s="39">
        <f t="shared" si="0"/>
        <v>-4318666.1493611801</v>
      </c>
      <c r="C15" s="39">
        <f t="shared" si="1"/>
        <v>-776231.674978222</v>
      </c>
      <c r="D15" s="39">
        <f t="shared" si="2"/>
        <v>-5094897.8243394019</v>
      </c>
      <c r="E15" s="38">
        <f>C$3+SUM(B$13:B15)</f>
        <v>42255234.349332139</v>
      </c>
      <c r="G15" s="2">
        <v>3</v>
      </c>
      <c r="H15" s="39">
        <f t="shared" si="3"/>
        <v>-8029203.9850810058</v>
      </c>
      <c r="I15" s="39">
        <f t="shared" si="4"/>
        <v>-1443159.1242595036</v>
      </c>
      <c r="J15" s="39">
        <f t="shared" si="5"/>
        <v>-9472363.1093405094</v>
      </c>
      <c r="K15" s="38">
        <f>I$3+SUM(H$13:H15)</f>
        <v>78560343.470489219</v>
      </c>
    </row>
    <row r="16" spans="1:11" x14ac:dyDescent="0.25">
      <c r="A16" s="2">
        <v>4</v>
      </c>
      <c r="B16" s="39">
        <f t="shared" si="0"/>
        <v>-4390643.9185171993</v>
      </c>
      <c r="C16" s="39">
        <f t="shared" si="1"/>
        <v>-704253.90582220221</v>
      </c>
      <c r="D16" s="39">
        <f t="shared" si="2"/>
        <v>-5094897.8243394019</v>
      </c>
      <c r="E16" s="38">
        <f>C$3+SUM(B$13:B16)</f>
        <v>37864590.430814937</v>
      </c>
      <c r="G16" s="2">
        <v>4</v>
      </c>
      <c r="H16" s="39">
        <f t="shared" si="3"/>
        <v>-8163024.0514990222</v>
      </c>
      <c r="I16" s="39">
        <f t="shared" si="4"/>
        <v>-1309339.057841487</v>
      </c>
      <c r="J16" s="39">
        <f t="shared" si="5"/>
        <v>-9472363.1093405094</v>
      </c>
      <c r="K16" s="38">
        <f>I$3+SUM(H$13:H16)</f>
        <v>70397319.418990195</v>
      </c>
    </row>
    <row r="17" spans="1:11" x14ac:dyDescent="0.25">
      <c r="A17" s="2">
        <v>5</v>
      </c>
      <c r="B17" s="39">
        <f t="shared" si="0"/>
        <v>-4463821.3171591526</v>
      </c>
      <c r="C17" s="39">
        <f t="shared" si="1"/>
        <v>-631076.50718024897</v>
      </c>
      <c r="D17" s="39">
        <f t="shared" si="2"/>
        <v>-5094897.8243394019</v>
      </c>
      <c r="E17" s="38">
        <f>C$3+SUM(B$13:B17)</f>
        <v>33400769.113655783</v>
      </c>
      <c r="G17" s="2">
        <v>5</v>
      </c>
      <c r="H17" s="39">
        <f t="shared" si="3"/>
        <v>-8299074.4523573387</v>
      </c>
      <c r="I17" s="39">
        <f t="shared" si="4"/>
        <v>-1173288.65698317</v>
      </c>
      <c r="J17" s="39">
        <f t="shared" si="5"/>
        <v>-9472363.1093405094</v>
      </c>
      <c r="K17" s="38">
        <f>I$3+SUM(H$13:H17)</f>
        <v>62098244.966632858</v>
      </c>
    </row>
    <row r="18" spans="1:11" x14ac:dyDescent="0.25">
      <c r="A18" s="2">
        <v>6</v>
      </c>
      <c r="B18" s="39">
        <f t="shared" si="0"/>
        <v>-4538218.3391118059</v>
      </c>
      <c r="C18" s="39">
        <f t="shared" si="1"/>
        <v>-556679.48522759636</v>
      </c>
      <c r="D18" s="39">
        <f t="shared" si="2"/>
        <v>-5094897.8243394019</v>
      </c>
      <c r="E18" s="38">
        <f>C$3+SUM(B$13:B18)</f>
        <v>28862550.774543978</v>
      </c>
      <c r="G18" s="2">
        <v>6</v>
      </c>
      <c r="H18" s="39">
        <f t="shared" si="3"/>
        <v>-8437392.3598966282</v>
      </c>
      <c r="I18" s="39">
        <f t="shared" si="4"/>
        <v>-1034970.7494438809</v>
      </c>
      <c r="J18" s="39">
        <f t="shared" si="5"/>
        <v>-9472363.1093405094</v>
      </c>
      <c r="K18" s="38">
        <f>I$3+SUM(H$13:H18)</f>
        <v>53660852.606736228</v>
      </c>
    </row>
    <row r="19" spans="1:11" x14ac:dyDescent="0.25">
      <c r="A19" s="2">
        <v>7</v>
      </c>
      <c r="B19" s="39">
        <f t="shared" si="0"/>
        <v>-4613855.311430336</v>
      </c>
      <c r="C19" s="39">
        <f t="shared" si="1"/>
        <v>-481042.51290906622</v>
      </c>
      <c r="D19" s="39">
        <f t="shared" si="2"/>
        <v>-5094897.8243394019</v>
      </c>
      <c r="E19" s="38">
        <f>C$3+SUM(B$13:B19)</f>
        <v>24248695.463113643</v>
      </c>
      <c r="G19" s="2">
        <v>7</v>
      </c>
      <c r="H19" s="39">
        <f t="shared" si="3"/>
        <v>-8578015.5658949055</v>
      </c>
      <c r="I19" s="39">
        <f t="shared" si="4"/>
        <v>-894347.54344560369</v>
      </c>
      <c r="J19" s="39">
        <f t="shared" si="5"/>
        <v>-9472363.1093405094</v>
      </c>
      <c r="K19" s="38">
        <f>I$3+SUM(H$13:H19)</f>
        <v>45082837.040841326</v>
      </c>
    </row>
    <row r="20" spans="1:11" x14ac:dyDescent="0.25">
      <c r="A20" s="2">
        <v>8</v>
      </c>
      <c r="B20" s="39">
        <f t="shared" si="0"/>
        <v>-4690752.8999541737</v>
      </c>
      <c r="C20" s="39">
        <f t="shared" si="1"/>
        <v>-404144.92438522738</v>
      </c>
      <c r="D20" s="39">
        <f t="shared" si="2"/>
        <v>-5094897.824339401</v>
      </c>
      <c r="E20" s="38">
        <f>C$3+SUM(B$13:B20)</f>
        <v>19557942.563159466</v>
      </c>
      <c r="G20" s="2">
        <v>8</v>
      </c>
      <c r="H20" s="39">
        <f t="shared" si="3"/>
        <v>-8720982.4919931535</v>
      </c>
      <c r="I20" s="39">
        <f t="shared" ref="I20:I24" si="6">IPMT(I$4/12,G20,I$5,I$3,0,0)</f>
        <v>-751380.61734735535</v>
      </c>
      <c r="J20" s="39">
        <f t="shared" ref="J20:J24" si="7">H20+I20</f>
        <v>-9472363.1093405094</v>
      </c>
      <c r="K20" s="38">
        <f>I$3+SUM(H$13:H20)</f>
        <v>36361854.548848175</v>
      </c>
    </row>
    <row r="21" spans="1:11" x14ac:dyDescent="0.25">
      <c r="A21" s="2">
        <v>9</v>
      </c>
      <c r="B21" s="39">
        <f t="shared" si="0"/>
        <v>-4768932.1149534108</v>
      </c>
      <c r="C21" s="39">
        <f t="shared" si="1"/>
        <v>-325965.7093859911</v>
      </c>
      <c r="D21" s="39">
        <f t="shared" si="2"/>
        <v>-5094897.8243394019</v>
      </c>
      <c r="E21" s="38">
        <f>C$3+SUM(B$13:B21)</f>
        <v>14789010.448206052</v>
      </c>
      <c r="G21" s="2">
        <v>9</v>
      </c>
      <c r="H21" s="39">
        <f t="shared" si="3"/>
        <v>-8866332.2001930401</v>
      </c>
      <c r="I21" s="39">
        <f t="shared" si="6"/>
        <v>-606030.90914746933</v>
      </c>
      <c r="J21" s="39">
        <f t="shared" si="7"/>
        <v>-9472363.1093405094</v>
      </c>
      <c r="K21" s="38">
        <f>I$3+SUM(H$13:H21)</f>
        <v>27495522.348655134</v>
      </c>
    </row>
    <row r="22" spans="1:11" x14ac:dyDescent="0.25">
      <c r="A22" s="2">
        <v>10</v>
      </c>
      <c r="B22" s="39">
        <f t="shared" si="0"/>
        <v>-4848414.3168693008</v>
      </c>
      <c r="C22" s="39">
        <f t="shared" si="1"/>
        <v>-246483.50747010089</v>
      </c>
      <c r="D22" s="39">
        <f t="shared" si="2"/>
        <v>-5094897.8243394019</v>
      </c>
      <c r="E22" s="38">
        <f>C$3+SUM(B$13:B22)</f>
        <v>9940596.1313367486</v>
      </c>
      <c r="G22" s="2">
        <v>10</v>
      </c>
      <c r="H22" s="39">
        <f t="shared" si="3"/>
        <v>-9014104.40352959</v>
      </c>
      <c r="I22" s="39">
        <f t="shared" si="6"/>
        <v>-458258.70581091865</v>
      </c>
      <c r="J22" s="39">
        <f t="shared" si="7"/>
        <v>-9472363.1093405094</v>
      </c>
      <c r="K22" s="38">
        <f>I$3+SUM(H$13:H22)</f>
        <v>18481417.94512555</v>
      </c>
    </row>
    <row r="23" spans="1:11" x14ac:dyDescent="0.25">
      <c r="A23" s="2">
        <v>11</v>
      </c>
      <c r="B23" s="39">
        <f t="shared" si="0"/>
        <v>-4929221.2221504562</v>
      </c>
      <c r="C23" s="39">
        <f t="shared" si="1"/>
        <v>-165676.60218894589</v>
      </c>
      <c r="D23" s="39">
        <f t="shared" si="2"/>
        <v>-5094897.8243394019</v>
      </c>
      <c r="E23" s="38">
        <f>C$3+SUM(B$13:B23)</f>
        <v>5011374.9091862887</v>
      </c>
      <c r="G23" s="2">
        <v>11</v>
      </c>
      <c r="H23" s="39">
        <f t="shared" si="3"/>
        <v>-9164339.4769217484</v>
      </c>
      <c r="I23" s="39">
        <f t="shared" si="6"/>
        <v>-308023.63241875888</v>
      </c>
      <c r="J23" s="39">
        <f t="shared" si="7"/>
        <v>-9472363.1093405075</v>
      </c>
      <c r="K23" s="38">
        <f>I$3+SUM(H$13:H23)</f>
        <v>9317078.4682037979</v>
      </c>
    </row>
    <row r="24" spans="1:11" x14ac:dyDescent="0.25">
      <c r="A24" s="2">
        <v>12</v>
      </c>
      <c r="B24" s="39">
        <f t="shared" si="0"/>
        <v>-5011374.9091862962</v>
      </c>
      <c r="C24" s="39">
        <f t="shared" si="1"/>
        <v>-83522.915153104957</v>
      </c>
      <c r="D24" s="39">
        <f t="shared" si="2"/>
        <v>-5094897.824339401</v>
      </c>
      <c r="E24" s="38">
        <f>C$3+SUM(B$13:B24)</f>
        <v>0</v>
      </c>
      <c r="G24" s="2">
        <v>12</v>
      </c>
      <c r="H24" s="39">
        <f t="shared" si="3"/>
        <v>-9317078.4682037793</v>
      </c>
      <c r="I24" s="39">
        <f t="shared" si="6"/>
        <v>-155284.64113672965</v>
      </c>
      <c r="J24" s="39">
        <f t="shared" si="7"/>
        <v>-9472363.1093405094</v>
      </c>
      <c r="K24" s="38">
        <f>I$3+SUM(H$13:H24)</f>
        <v>0</v>
      </c>
    </row>
    <row r="25" spans="1:11" x14ac:dyDescent="0.25">
      <c r="B25" s="26"/>
    </row>
    <row r="27" spans="1:11" x14ac:dyDescent="0.25">
      <c r="G27" s="26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workbookViewId="0">
      <selection activeCell="M28" sqref="M28"/>
    </sheetView>
  </sheetViews>
  <sheetFormatPr defaultRowHeight="15" x14ac:dyDescent="0.25"/>
  <cols>
    <col min="1" max="1" width="7.5703125" style="3" customWidth="1"/>
    <col min="2" max="2" width="27" customWidth="1"/>
    <col min="3" max="3" width="22.28515625" customWidth="1"/>
    <col min="4" max="4" width="13.7109375" customWidth="1"/>
    <col min="5" max="6" width="15.42578125" customWidth="1"/>
    <col min="7" max="7" width="10.28515625" customWidth="1"/>
    <col min="8" max="8" width="9.7109375" customWidth="1"/>
    <col min="9" max="9" width="29.140625" customWidth="1"/>
    <col min="10" max="10" width="26.28515625" customWidth="1"/>
    <col min="11" max="11" width="15.28515625" customWidth="1"/>
    <col min="12" max="12" width="17.85546875" customWidth="1"/>
    <col min="13" max="13" width="14" customWidth="1"/>
  </cols>
  <sheetData>
    <row r="1" spans="1:13" x14ac:dyDescent="0.25">
      <c r="A1" s="33" t="s">
        <v>97</v>
      </c>
      <c r="H1" t="s">
        <v>96</v>
      </c>
    </row>
    <row r="2" spans="1:13" x14ac:dyDescent="0.25">
      <c r="A2" s="32"/>
      <c r="B2" s="4"/>
      <c r="C2" s="4"/>
      <c r="D2" s="4"/>
      <c r="E2" s="4"/>
      <c r="F2" s="4"/>
    </row>
    <row r="3" spans="1:13" x14ac:dyDescent="0.25">
      <c r="A3" s="5" t="s">
        <v>0</v>
      </c>
      <c r="B3" s="6" t="s">
        <v>2</v>
      </c>
      <c r="C3" s="6" t="s">
        <v>3</v>
      </c>
      <c r="D3" s="6" t="s">
        <v>4</v>
      </c>
      <c r="E3" s="6" t="s">
        <v>89</v>
      </c>
      <c r="F3" s="6" t="s">
        <v>88</v>
      </c>
      <c r="H3" s="5" t="s">
        <v>0</v>
      </c>
      <c r="I3" s="6" t="s">
        <v>2</v>
      </c>
      <c r="J3" s="6" t="s">
        <v>3</v>
      </c>
      <c r="K3" s="6" t="s">
        <v>4</v>
      </c>
      <c r="L3" s="6" t="s">
        <v>89</v>
      </c>
      <c r="M3" s="6" t="s">
        <v>88</v>
      </c>
    </row>
    <row r="4" spans="1:13" x14ac:dyDescent="0.25">
      <c r="A4" s="7">
        <v>1</v>
      </c>
      <c r="B4" s="8" t="s">
        <v>6</v>
      </c>
      <c r="C4" s="8" t="s">
        <v>5</v>
      </c>
      <c r="D4" s="22">
        <f>E4/0.78</f>
        <v>1025641.0256410256</v>
      </c>
      <c r="E4" s="9">
        <v>800000</v>
      </c>
      <c r="F4" s="9">
        <f>D4*22%</f>
        <v>225641.02564102563</v>
      </c>
      <c r="H4" s="7">
        <v>1</v>
      </c>
      <c r="I4" s="8" t="s">
        <v>6</v>
      </c>
      <c r="J4" s="8" t="s">
        <v>5</v>
      </c>
      <c r="K4" s="22">
        <f>L4/0.78</f>
        <v>1153846.1538461538</v>
      </c>
      <c r="L4" s="9">
        <v>900000</v>
      </c>
      <c r="M4" s="9">
        <f>K4*22%</f>
        <v>253846.15384615381</v>
      </c>
    </row>
    <row r="5" spans="1:13" x14ac:dyDescent="0.25">
      <c r="A5" s="7">
        <v>2</v>
      </c>
      <c r="B5" s="8" t="s">
        <v>6</v>
      </c>
      <c r="C5" s="8" t="s">
        <v>7</v>
      </c>
      <c r="D5" s="22">
        <f t="shared" ref="D5:D21" si="0">E5/0.78</f>
        <v>897435.89743589738</v>
      </c>
      <c r="E5" s="9">
        <v>700000</v>
      </c>
      <c r="F5" s="9">
        <f t="shared" ref="F5:F21" si="1">D5*22%</f>
        <v>197435.89743589744</v>
      </c>
      <c r="H5" s="7">
        <v>2</v>
      </c>
      <c r="I5" s="8" t="s">
        <v>6</v>
      </c>
      <c r="J5" s="8" t="s">
        <v>7</v>
      </c>
      <c r="K5" s="22">
        <f t="shared" ref="K5:K27" si="2">L5/0.78</f>
        <v>1025641.0256410256</v>
      </c>
      <c r="L5" s="9">
        <v>800000</v>
      </c>
      <c r="M5" s="9">
        <f t="shared" ref="M5:M28" si="3">K5*22%</f>
        <v>225641.02564102563</v>
      </c>
    </row>
    <row r="6" spans="1:13" x14ac:dyDescent="0.25">
      <c r="A6" s="7">
        <v>3</v>
      </c>
      <c r="B6" s="8" t="s">
        <v>9</v>
      </c>
      <c r="C6" s="8" t="s">
        <v>8</v>
      </c>
      <c r="D6" s="22">
        <f t="shared" si="0"/>
        <v>705128.20512820513</v>
      </c>
      <c r="E6" s="9">
        <v>550000</v>
      </c>
      <c r="F6" s="9">
        <f t="shared" si="1"/>
        <v>155128.20512820513</v>
      </c>
      <c r="H6" s="7">
        <v>3</v>
      </c>
      <c r="I6" s="8" t="s">
        <v>9</v>
      </c>
      <c r="J6" s="8" t="s">
        <v>8</v>
      </c>
      <c r="K6" s="22">
        <f t="shared" si="2"/>
        <v>769230.76923076925</v>
      </c>
      <c r="L6" s="9">
        <v>600000</v>
      </c>
      <c r="M6" s="9">
        <f t="shared" si="3"/>
        <v>169230.76923076925</v>
      </c>
    </row>
    <row r="7" spans="1:13" x14ac:dyDescent="0.25">
      <c r="A7" s="7">
        <v>4</v>
      </c>
      <c r="B7" s="8" t="s">
        <v>9</v>
      </c>
      <c r="C7" s="8" t="s">
        <v>13</v>
      </c>
      <c r="D7" s="22">
        <f t="shared" si="0"/>
        <v>448717.94871794869</v>
      </c>
      <c r="E7" s="9">
        <v>350000</v>
      </c>
      <c r="F7" s="9">
        <f t="shared" si="1"/>
        <v>98717.948717948719</v>
      </c>
      <c r="H7" s="7">
        <v>4</v>
      </c>
      <c r="I7" s="8" t="s">
        <v>9</v>
      </c>
      <c r="J7" s="8" t="s">
        <v>13</v>
      </c>
      <c r="K7" s="22">
        <f t="shared" si="2"/>
        <v>576923.07692307688</v>
      </c>
      <c r="L7" s="9">
        <v>450000</v>
      </c>
      <c r="M7" s="9">
        <f t="shared" si="3"/>
        <v>126923.07692307691</v>
      </c>
    </row>
    <row r="8" spans="1:13" x14ac:dyDescent="0.25">
      <c r="A8" s="7">
        <v>5</v>
      </c>
      <c r="B8" s="8" t="s">
        <v>11</v>
      </c>
      <c r="C8" s="8" t="s">
        <v>10</v>
      </c>
      <c r="D8" s="22">
        <f t="shared" si="0"/>
        <v>576923.07692307688</v>
      </c>
      <c r="E8" s="9">
        <v>450000</v>
      </c>
      <c r="F8" s="9">
        <f t="shared" si="1"/>
        <v>126923.07692307691</v>
      </c>
      <c r="H8" s="7">
        <v>5</v>
      </c>
      <c r="I8" s="8" t="s">
        <v>11</v>
      </c>
      <c r="J8" s="8" t="s">
        <v>10</v>
      </c>
      <c r="K8" s="22">
        <f t="shared" si="2"/>
        <v>705128.20512820513</v>
      </c>
      <c r="L8" s="9">
        <v>550000</v>
      </c>
      <c r="M8" s="9">
        <f t="shared" si="3"/>
        <v>155128.20512820513</v>
      </c>
    </row>
    <row r="9" spans="1:13" x14ac:dyDescent="0.25">
      <c r="A9" s="7">
        <v>6</v>
      </c>
      <c r="B9" s="8" t="s">
        <v>12</v>
      </c>
      <c r="C9" s="8" t="s">
        <v>13</v>
      </c>
      <c r="D9" s="22">
        <f t="shared" si="0"/>
        <v>384615.38461538462</v>
      </c>
      <c r="E9" s="9">
        <v>300000</v>
      </c>
      <c r="F9" s="9">
        <f t="shared" si="1"/>
        <v>84615.384615384624</v>
      </c>
      <c r="H9" s="7">
        <v>6</v>
      </c>
      <c r="I9" s="8" t="s">
        <v>12</v>
      </c>
      <c r="J9" s="8" t="s">
        <v>13</v>
      </c>
      <c r="K9" s="22">
        <f t="shared" si="2"/>
        <v>576923.07692307688</v>
      </c>
      <c r="L9" s="9">
        <v>450000</v>
      </c>
      <c r="M9" s="9">
        <f t="shared" si="3"/>
        <v>126923.07692307691</v>
      </c>
    </row>
    <row r="10" spans="1:13" x14ac:dyDescent="0.25">
      <c r="A10" s="7">
        <v>7</v>
      </c>
      <c r="B10" s="8" t="s">
        <v>15</v>
      </c>
      <c r="C10" s="8" t="s">
        <v>13</v>
      </c>
      <c r="D10" s="22">
        <f t="shared" si="0"/>
        <v>641025.641025641</v>
      </c>
      <c r="E10" s="9">
        <v>500000</v>
      </c>
      <c r="F10" s="9">
        <f t="shared" si="1"/>
        <v>141025.64102564103</v>
      </c>
      <c r="H10" s="7">
        <v>7</v>
      </c>
      <c r="I10" s="8" t="s">
        <v>15</v>
      </c>
      <c r="J10" s="8" t="s">
        <v>13</v>
      </c>
      <c r="K10" s="22">
        <f t="shared" si="2"/>
        <v>769230.76923076925</v>
      </c>
      <c r="L10" s="9">
        <v>600000</v>
      </c>
      <c r="M10" s="9">
        <f t="shared" si="3"/>
        <v>169230.76923076925</v>
      </c>
    </row>
    <row r="11" spans="1:13" x14ac:dyDescent="0.25">
      <c r="A11" s="7">
        <v>8</v>
      </c>
      <c r="B11" s="8" t="s">
        <v>15</v>
      </c>
      <c r="C11" s="8" t="s">
        <v>13</v>
      </c>
      <c r="D11" s="22">
        <f t="shared" si="0"/>
        <v>641025.641025641</v>
      </c>
      <c r="E11" s="9">
        <v>500000</v>
      </c>
      <c r="F11" s="9">
        <f t="shared" si="1"/>
        <v>141025.64102564103</v>
      </c>
      <c r="H11" s="7">
        <v>8</v>
      </c>
      <c r="I11" s="8" t="s">
        <v>15</v>
      </c>
      <c r="J11" s="8" t="s">
        <v>13</v>
      </c>
      <c r="K11" s="22">
        <f t="shared" si="2"/>
        <v>769230.76923076925</v>
      </c>
      <c r="L11" s="9">
        <v>600000</v>
      </c>
      <c r="M11" s="9">
        <f t="shared" si="3"/>
        <v>169230.76923076925</v>
      </c>
    </row>
    <row r="12" spans="1:13" x14ac:dyDescent="0.25">
      <c r="A12" s="7">
        <v>9</v>
      </c>
      <c r="B12" s="8" t="s">
        <v>30</v>
      </c>
      <c r="C12" s="8" t="s">
        <v>13</v>
      </c>
      <c r="D12" s="22">
        <f t="shared" si="0"/>
        <v>576923.07692307688</v>
      </c>
      <c r="E12" s="9">
        <v>450000</v>
      </c>
      <c r="F12" s="9">
        <f t="shared" si="1"/>
        <v>126923.07692307691</v>
      </c>
      <c r="H12" s="7">
        <v>9</v>
      </c>
      <c r="I12" s="8" t="s">
        <v>30</v>
      </c>
      <c r="J12" s="8" t="s">
        <v>13</v>
      </c>
      <c r="K12" s="22">
        <f t="shared" si="2"/>
        <v>705128.20512820513</v>
      </c>
      <c r="L12" s="9">
        <v>550000</v>
      </c>
      <c r="M12" s="9">
        <f t="shared" si="3"/>
        <v>155128.20512820513</v>
      </c>
    </row>
    <row r="13" spans="1:13" x14ac:dyDescent="0.25">
      <c r="A13" s="7">
        <v>10</v>
      </c>
      <c r="B13" s="8" t="s">
        <v>20</v>
      </c>
      <c r="C13" s="8" t="s">
        <v>13</v>
      </c>
      <c r="D13" s="22">
        <f t="shared" si="0"/>
        <v>320512.8205128205</v>
      </c>
      <c r="E13" s="9">
        <v>250000</v>
      </c>
      <c r="F13" s="9">
        <f t="shared" si="1"/>
        <v>70512.820512820515</v>
      </c>
      <c r="H13" s="7">
        <v>10</v>
      </c>
      <c r="I13" s="8" t="s">
        <v>20</v>
      </c>
      <c r="J13" s="8" t="s">
        <v>13</v>
      </c>
      <c r="K13" s="22">
        <f t="shared" si="2"/>
        <v>384615.38461538462</v>
      </c>
      <c r="L13" s="9">
        <v>300000</v>
      </c>
      <c r="M13" s="9">
        <f t="shared" si="3"/>
        <v>84615.384615384624</v>
      </c>
    </row>
    <row r="14" spans="1:13" x14ac:dyDescent="0.25">
      <c r="A14" s="7">
        <v>11</v>
      </c>
      <c r="B14" s="8" t="s">
        <v>20</v>
      </c>
      <c r="C14" s="8" t="s">
        <v>13</v>
      </c>
      <c r="D14" s="22">
        <f t="shared" si="0"/>
        <v>320512.8205128205</v>
      </c>
      <c r="E14" s="9">
        <v>250000</v>
      </c>
      <c r="F14" s="9">
        <f t="shared" si="1"/>
        <v>70512.820512820515</v>
      </c>
      <c r="H14" s="7">
        <v>11</v>
      </c>
      <c r="I14" s="8" t="s">
        <v>20</v>
      </c>
      <c r="J14" s="8" t="s">
        <v>13</v>
      </c>
      <c r="K14" s="22">
        <f t="shared" si="2"/>
        <v>384615.38461538462</v>
      </c>
      <c r="L14" s="9">
        <v>300000</v>
      </c>
      <c r="M14" s="9">
        <f t="shared" si="3"/>
        <v>84615.384615384624</v>
      </c>
    </row>
    <row r="15" spans="1:13" x14ac:dyDescent="0.25">
      <c r="A15" s="7">
        <v>12</v>
      </c>
      <c r="B15" s="8" t="s">
        <v>14</v>
      </c>
      <c r="C15" s="8" t="s">
        <v>13</v>
      </c>
      <c r="D15" s="22">
        <f t="shared" si="0"/>
        <v>320512.8205128205</v>
      </c>
      <c r="E15" s="9">
        <v>250000</v>
      </c>
      <c r="F15" s="9">
        <f t="shared" si="1"/>
        <v>70512.820512820515</v>
      </c>
      <c r="H15" s="7">
        <v>12</v>
      </c>
      <c r="I15" s="8" t="s">
        <v>20</v>
      </c>
      <c r="J15" s="8" t="s">
        <v>13</v>
      </c>
      <c r="K15" s="22">
        <f t="shared" si="2"/>
        <v>384615.38461538462</v>
      </c>
      <c r="L15" s="9">
        <v>300000</v>
      </c>
      <c r="M15" s="9">
        <f t="shared" si="3"/>
        <v>84615.384615384624</v>
      </c>
    </row>
    <row r="16" spans="1:13" x14ac:dyDescent="0.25">
      <c r="A16" s="7">
        <v>13</v>
      </c>
      <c r="B16" s="8" t="s">
        <v>14</v>
      </c>
      <c r="C16" s="8" t="s">
        <v>13</v>
      </c>
      <c r="D16" s="22">
        <f t="shared" si="0"/>
        <v>256410.25641025641</v>
      </c>
      <c r="E16" s="9">
        <v>200000</v>
      </c>
      <c r="F16" s="9">
        <f t="shared" si="1"/>
        <v>56410.256410256407</v>
      </c>
      <c r="H16" s="7">
        <v>13</v>
      </c>
      <c r="I16" s="8" t="s">
        <v>20</v>
      </c>
      <c r="J16" s="8" t="s">
        <v>13</v>
      </c>
      <c r="K16" s="22">
        <f t="shared" si="2"/>
        <v>384615.38461538462</v>
      </c>
      <c r="L16" s="9">
        <v>300000</v>
      </c>
      <c r="M16" s="9">
        <f t="shared" si="3"/>
        <v>84615.384615384624</v>
      </c>
    </row>
    <row r="17" spans="1:13" x14ac:dyDescent="0.25">
      <c r="A17" s="7">
        <v>14</v>
      </c>
      <c r="B17" s="8" t="s">
        <v>16</v>
      </c>
      <c r="C17" s="8" t="s">
        <v>17</v>
      </c>
      <c r="D17" s="22">
        <f t="shared" si="0"/>
        <v>1282051.282051282</v>
      </c>
      <c r="E17" s="9">
        <v>1000000</v>
      </c>
      <c r="F17" s="9">
        <f t="shared" si="1"/>
        <v>282051.28205128206</v>
      </c>
      <c r="H17" s="7">
        <v>14</v>
      </c>
      <c r="I17" s="8" t="s">
        <v>14</v>
      </c>
      <c r="J17" s="8" t="s">
        <v>13</v>
      </c>
      <c r="K17" s="22">
        <f t="shared" si="2"/>
        <v>256410.25641025641</v>
      </c>
      <c r="L17" s="9">
        <v>200000</v>
      </c>
      <c r="M17" s="9">
        <f t="shared" si="3"/>
        <v>56410.256410256407</v>
      </c>
    </row>
    <row r="18" spans="1:13" x14ac:dyDescent="0.25">
      <c r="A18" s="7">
        <v>15</v>
      </c>
      <c r="B18" s="8" t="s">
        <v>18</v>
      </c>
      <c r="C18" s="8" t="s">
        <v>19</v>
      </c>
      <c r="D18" s="22">
        <f t="shared" si="0"/>
        <v>576923.07692307688</v>
      </c>
      <c r="E18" s="9">
        <v>450000</v>
      </c>
      <c r="F18" s="9">
        <f t="shared" si="1"/>
        <v>126923.07692307691</v>
      </c>
      <c r="H18" s="7">
        <v>15</v>
      </c>
      <c r="I18" s="8" t="s">
        <v>14</v>
      </c>
      <c r="J18" s="8" t="s">
        <v>13</v>
      </c>
      <c r="K18" s="22">
        <f t="shared" si="2"/>
        <v>256410.25641025641</v>
      </c>
      <c r="L18" s="9">
        <v>200000</v>
      </c>
      <c r="M18" s="9">
        <f t="shared" si="3"/>
        <v>56410.256410256407</v>
      </c>
    </row>
    <row r="19" spans="1:13" x14ac:dyDescent="0.25">
      <c r="A19" s="7">
        <v>16</v>
      </c>
      <c r="B19" s="8" t="s">
        <v>28</v>
      </c>
      <c r="C19" s="8" t="s">
        <v>29</v>
      </c>
      <c r="D19" s="22">
        <f t="shared" si="0"/>
        <v>320512.8205128205</v>
      </c>
      <c r="E19" s="9">
        <v>250000</v>
      </c>
      <c r="F19" s="9">
        <f t="shared" si="1"/>
        <v>70512.820512820515</v>
      </c>
      <c r="H19" s="7">
        <v>19</v>
      </c>
      <c r="I19" s="8" t="s">
        <v>14</v>
      </c>
      <c r="J19" s="8" t="s">
        <v>13</v>
      </c>
      <c r="K19" s="22">
        <f t="shared" si="2"/>
        <v>256410.25641025641</v>
      </c>
      <c r="L19" s="9">
        <v>200000</v>
      </c>
      <c r="M19" s="9">
        <f t="shared" si="3"/>
        <v>56410.256410256407</v>
      </c>
    </row>
    <row r="20" spans="1:13" x14ac:dyDescent="0.25">
      <c r="A20" s="7">
        <v>17</v>
      </c>
      <c r="B20" s="8" t="s">
        <v>28</v>
      </c>
      <c r="C20" s="8" t="s">
        <v>13</v>
      </c>
      <c r="D20" s="22">
        <f t="shared" si="0"/>
        <v>320512.8205128205</v>
      </c>
      <c r="E20" s="9">
        <v>250000</v>
      </c>
      <c r="F20" s="9">
        <f t="shared" si="1"/>
        <v>70512.820512820515</v>
      </c>
      <c r="H20" s="7">
        <v>20</v>
      </c>
      <c r="I20" s="8" t="s">
        <v>14</v>
      </c>
      <c r="J20" s="8" t="s">
        <v>13</v>
      </c>
      <c r="K20" s="22">
        <f t="shared" si="2"/>
        <v>256410.25641025641</v>
      </c>
      <c r="L20" s="9">
        <v>200000</v>
      </c>
      <c r="M20" s="9">
        <f t="shared" si="3"/>
        <v>56410.256410256407</v>
      </c>
    </row>
    <row r="21" spans="1:13" x14ac:dyDescent="0.25">
      <c r="A21" s="7">
        <v>18</v>
      </c>
      <c r="B21" s="8" t="s">
        <v>59</v>
      </c>
      <c r="C21" s="8" t="s">
        <v>13</v>
      </c>
      <c r="D21" s="22">
        <f t="shared" si="0"/>
        <v>320512.8205128205</v>
      </c>
      <c r="E21" s="9">
        <v>250000</v>
      </c>
      <c r="F21" s="9">
        <f t="shared" si="1"/>
        <v>70512.820512820515</v>
      </c>
      <c r="H21" s="7">
        <v>21</v>
      </c>
      <c r="I21" s="8" t="s">
        <v>16</v>
      </c>
      <c r="J21" s="8" t="s">
        <v>17</v>
      </c>
      <c r="K21" s="22">
        <f t="shared" si="2"/>
        <v>2564102.564102564</v>
      </c>
      <c r="L21" s="9">
        <v>2000000</v>
      </c>
      <c r="M21" s="9">
        <f t="shared" si="3"/>
        <v>564102.56410256412</v>
      </c>
    </row>
    <row r="22" spans="1:13" x14ac:dyDescent="0.25">
      <c r="A22" s="7"/>
      <c r="B22" s="8"/>
      <c r="C22" s="8"/>
      <c r="D22" s="8"/>
      <c r="E22" s="9"/>
      <c r="F22" s="9"/>
      <c r="H22" s="7">
        <v>22</v>
      </c>
      <c r="I22" s="8" t="s">
        <v>18</v>
      </c>
      <c r="J22" s="8" t="s">
        <v>19</v>
      </c>
      <c r="K22" s="22">
        <f t="shared" si="2"/>
        <v>576923.07692307688</v>
      </c>
      <c r="L22" s="9">
        <v>450000</v>
      </c>
      <c r="M22" s="9">
        <f t="shared" si="3"/>
        <v>126923.07692307691</v>
      </c>
    </row>
    <row r="23" spans="1:13" x14ac:dyDescent="0.25">
      <c r="A23" s="31" t="s">
        <v>21</v>
      </c>
      <c r="B23" s="31"/>
      <c r="C23" s="31"/>
      <c r="D23" s="35">
        <f>SUM(D4:D22)</f>
        <v>9935897.4358974323</v>
      </c>
      <c r="E23" s="25">
        <f>SUM(E4:E22)</f>
        <v>7750000</v>
      </c>
      <c r="F23" s="25">
        <f>SUM(F4:F22)</f>
        <v>2185897.435897436</v>
      </c>
      <c r="H23" s="7">
        <v>23</v>
      </c>
      <c r="I23" s="8" t="s">
        <v>28</v>
      </c>
      <c r="J23" s="8" t="s">
        <v>29</v>
      </c>
      <c r="K23" s="22">
        <f t="shared" si="2"/>
        <v>320512.8205128205</v>
      </c>
      <c r="L23" s="9">
        <v>250000</v>
      </c>
      <c r="M23" s="9">
        <f t="shared" si="3"/>
        <v>70512.820512820515</v>
      </c>
    </row>
    <row r="24" spans="1:13" x14ac:dyDescent="0.25">
      <c r="E24" s="1"/>
      <c r="F24" s="1"/>
      <c r="H24" s="7">
        <v>24</v>
      </c>
      <c r="I24" s="8" t="s">
        <v>28</v>
      </c>
      <c r="J24" s="8" t="s">
        <v>13</v>
      </c>
      <c r="K24" s="22">
        <f t="shared" si="2"/>
        <v>320512.8205128205</v>
      </c>
      <c r="L24" s="9">
        <v>250000</v>
      </c>
      <c r="M24" s="9">
        <f t="shared" si="3"/>
        <v>70512.820512820515</v>
      </c>
    </row>
    <row r="25" spans="1:13" x14ac:dyDescent="0.25">
      <c r="E25" s="1"/>
      <c r="F25" s="1"/>
      <c r="H25" s="7">
        <v>25</v>
      </c>
      <c r="I25" s="8" t="s">
        <v>28</v>
      </c>
      <c r="J25" s="8" t="s">
        <v>13</v>
      </c>
      <c r="K25" s="22">
        <f t="shared" si="2"/>
        <v>320512.8205128205</v>
      </c>
      <c r="L25" s="9">
        <v>250000</v>
      </c>
      <c r="M25" s="9">
        <f t="shared" si="3"/>
        <v>70512.820512820515</v>
      </c>
    </row>
    <row r="26" spans="1:13" x14ac:dyDescent="0.25">
      <c r="E26" s="1"/>
      <c r="F26" s="1"/>
      <c r="H26" s="7">
        <v>26</v>
      </c>
      <c r="I26" s="8" t="s">
        <v>28</v>
      </c>
      <c r="J26" s="8" t="s">
        <v>13</v>
      </c>
      <c r="K26" s="22">
        <f t="shared" si="2"/>
        <v>320512.8205128205</v>
      </c>
      <c r="L26" s="9">
        <v>250000</v>
      </c>
      <c r="M26" s="9">
        <f t="shared" si="3"/>
        <v>70512.820512820515</v>
      </c>
    </row>
    <row r="27" spans="1:13" x14ac:dyDescent="0.25">
      <c r="E27" s="1"/>
      <c r="F27" s="1"/>
      <c r="H27" s="7">
        <v>27</v>
      </c>
      <c r="I27" s="8" t="s">
        <v>59</v>
      </c>
      <c r="J27" s="8" t="s">
        <v>13</v>
      </c>
      <c r="K27" s="22">
        <f t="shared" si="2"/>
        <v>320512.8205128205</v>
      </c>
      <c r="L27" s="9">
        <v>250000</v>
      </c>
      <c r="M27" s="9">
        <f t="shared" si="3"/>
        <v>70512.820512820515</v>
      </c>
    </row>
    <row r="28" spans="1:13" x14ac:dyDescent="0.25">
      <c r="E28" s="1"/>
      <c r="F28" s="1"/>
      <c r="H28" s="41" t="s">
        <v>21</v>
      </c>
      <c r="I28" s="41"/>
      <c r="J28" s="41"/>
      <c r="K28" s="35">
        <f>SUM(K4:K27)</f>
        <v>14358974.358974354</v>
      </c>
      <c r="L28" s="25">
        <f>SUM(L4:L27)</f>
        <v>11200000</v>
      </c>
      <c r="M28" s="36">
        <f t="shared" si="3"/>
        <v>3158974.3589743581</v>
      </c>
    </row>
    <row r="29" spans="1:13" x14ac:dyDescent="0.25">
      <c r="E29" s="1"/>
      <c r="F29" s="1"/>
    </row>
    <row r="30" spans="1:13" x14ac:dyDescent="0.25">
      <c r="E30" s="1"/>
      <c r="F30" s="1"/>
    </row>
  </sheetData>
  <mergeCells count="1">
    <mergeCell ref="H28:J2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workbookViewId="0">
      <selection activeCell="C20" sqref="C20"/>
    </sheetView>
  </sheetViews>
  <sheetFormatPr defaultRowHeight="15" x14ac:dyDescent="0.25"/>
  <cols>
    <col min="1" max="1" width="5.7109375" style="10" customWidth="1"/>
    <col min="2" max="2" width="14.5703125" customWidth="1"/>
    <col min="3" max="3" width="14.7109375" customWidth="1"/>
    <col min="4" max="4" width="19.7109375" customWidth="1"/>
    <col min="5" max="5" width="17.5703125" customWidth="1"/>
    <col min="6" max="6" width="15.140625" customWidth="1"/>
    <col min="7" max="7" width="14.7109375" customWidth="1"/>
    <col min="8" max="8" width="25" customWidth="1"/>
    <col min="9" max="9" width="34" customWidth="1"/>
  </cols>
  <sheetData>
    <row r="1" spans="1:7" x14ac:dyDescent="0.25">
      <c r="A1" s="12" t="s">
        <v>0</v>
      </c>
      <c r="B1" s="4" t="s">
        <v>32</v>
      </c>
      <c r="C1" s="4" t="s">
        <v>33</v>
      </c>
      <c r="D1" s="4" t="s">
        <v>38</v>
      </c>
      <c r="E1" s="4" t="s">
        <v>40</v>
      </c>
      <c r="F1" s="4" t="s">
        <v>34</v>
      </c>
      <c r="G1" s="4" t="s">
        <v>39</v>
      </c>
    </row>
    <row r="2" spans="1:7" x14ac:dyDescent="0.25">
      <c r="A2" s="10">
        <v>1</v>
      </c>
      <c r="B2" t="s">
        <v>36</v>
      </c>
      <c r="C2" s="1">
        <v>3500000</v>
      </c>
      <c r="D2" s="14">
        <v>103</v>
      </c>
      <c r="E2" s="13">
        <f>C2/D2</f>
        <v>33980.582524271842</v>
      </c>
      <c r="F2" s="13">
        <f>E2*1%</f>
        <v>339.80582524271841</v>
      </c>
      <c r="G2" s="13">
        <f>F2*50%</f>
        <v>169.90291262135921</v>
      </c>
    </row>
    <row r="3" spans="1:7" x14ac:dyDescent="0.25">
      <c r="A3" s="10">
        <v>2</v>
      </c>
      <c r="B3" t="s">
        <v>37</v>
      </c>
      <c r="C3" s="1">
        <v>3500000</v>
      </c>
      <c r="D3" s="14">
        <v>100</v>
      </c>
      <c r="E3" s="13">
        <f>C3/D3</f>
        <v>35000</v>
      </c>
      <c r="F3" s="13">
        <f>E3*1%</f>
        <v>350</v>
      </c>
      <c r="G3" s="13">
        <f t="shared" ref="G3:G4" si="0">F3*50%</f>
        <v>175</v>
      </c>
    </row>
    <row r="4" spans="1:7" x14ac:dyDescent="0.25">
      <c r="A4" s="10">
        <v>3</v>
      </c>
      <c r="B4" t="s">
        <v>35</v>
      </c>
      <c r="C4" s="1">
        <v>1000000</v>
      </c>
      <c r="D4" s="14">
        <v>20</v>
      </c>
      <c r="E4" s="13">
        <f>(C4/D4)</f>
        <v>50000</v>
      </c>
      <c r="F4" s="13">
        <f>E4*2%</f>
        <v>1000</v>
      </c>
      <c r="G4" s="13">
        <f t="shared" si="0"/>
        <v>500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Фин.модель</vt:lpstr>
      <vt:lpstr>Вводные данные</vt:lpstr>
      <vt:lpstr>Ежемесячный платеж инвестиций</vt:lpstr>
      <vt:lpstr>ФОТ</vt:lpstr>
      <vt:lpstr>Расчеты коверсий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2025-05-28T18:32:14Z</dcterms:created>
  <dcterms:modified xsi:type="dcterms:W3CDTF">2025-09-22T20:59:47Z</dcterms:modified>
</cp:coreProperties>
</file>