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ust Logistic\Downloads\"/>
    </mc:Choice>
  </mc:AlternateContent>
  <xr:revisionPtr revIDLastSave="0" documentId="13_ncr:1_{B8722DDC-E2AA-4019-94F3-B4F8DDF086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&amp;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7" i="4" l="1"/>
  <c r="J44" i="4" l="1"/>
  <c r="K44" i="4" s="1"/>
  <c r="L44" i="4" s="1"/>
  <c r="M44" i="4" s="1"/>
  <c r="N44" i="4" s="1"/>
  <c r="J43" i="4"/>
  <c r="K43" i="4"/>
  <c r="L43" i="4" s="1"/>
  <c r="M43" i="4" s="1"/>
  <c r="N43" i="4" s="1"/>
  <c r="K53" i="4"/>
  <c r="L53" i="4" s="1"/>
  <c r="M53" i="4" s="1"/>
  <c r="N53" i="4" s="1"/>
  <c r="J53" i="4"/>
  <c r="J52" i="4"/>
  <c r="K52" i="4" s="1"/>
  <c r="L52" i="4" s="1"/>
  <c r="M52" i="4" s="1"/>
  <c r="N52" i="4" s="1"/>
  <c r="J51" i="4"/>
  <c r="K51" i="4" s="1"/>
  <c r="L51" i="4" s="1"/>
  <c r="M51" i="4" s="1"/>
  <c r="N51" i="4" s="1"/>
  <c r="J50" i="4"/>
  <c r="K50" i="4" s="1"/>
  <c r="L50" i="4" s="1"/>
  <c r="M50" i="4" s="1"/>
  <c r="N50" i="4" s="1"/>
  <c r="J49" i="4"/>
  <c r="K49" i="4" s="1"/>
  <c r="L49" i="4" s="1"/>
  <c r="M49" i="4" s="1"/>
  <c r="N49" i="4" s="1"/>
  <c r="P48" i="4"/>
  <c r="J48" i="4"/>
  <c r="K48" i="4" s="1"/>
  <c r="L48" i="4" s="1"/>
  <c r="M48" i="4" s="1"/>
  <c r="N48" i="4" s="1"/>
  <c r="P47" i="4"/>
  <c r="J47" i="4"/>
  <c r="K47" i="4" s="1"/>
  <c r="L47" i="4" s="1"/>
  <c r="M47" i="4" s="1"/>
  <c r="N47" i="4" s="1"/>
  <c r="J46" i="4"/>
  <c r="J45" i="4"/>
  <c r="K45" i="4" s="1"/>
  <c r="L45" i="4" s="1"/>
  <c r="M45" i="4" s="1"/>
  <c r="N45" i="4" s="1"/>
  <c r="N41" i="4"/>
  <c r="M41" i="4"/>
  <c r="L41" i="4"/>
  <c r="K41" i="4"/>
  <c r="J41" i="4"/>
  <c r="J33" i="4"/>
  <c r="N32" i="4"/>
  <c r="M32" i="4"/>
  <c r="L32" i="4"/>
  <c r="K32" i="4"/>
  <c r="J32" i="4"/>
  <c r="J23" i="4"/>
  <c r="J29" i="4" s="1"/>
  <c r="J30" i="4" s="1"/>
  <c r="J34" i="4" s="1"/>
  <c r="N22" i="4"/>
  <c r="M22" i="4"/>
  <c r="L22" i="4"/>
  <c r="K22" i="4"/>
  <c r="J14" i="4"/>
  <c r="K14" i="4" s="1"/>
  <c r="L14" i="4" s="1"/>
  <c r="M14" i="4" s="1"/>
  <c r="N14" i="4" s="1"/>
  <c r="N13" i="4"/>
  <c r="M13" i="4"/>
  <c r="L13" i="4"/>
  <c r="K13" i="4"/>
  <c r="J13" i="4"/>
  <c r="N12" i="4"/>
  <c r="M12" i="4"/>
  <c r="L12" i="4"/>
  <c r="K12" i="4"/>
  <c r="J12" i="4"/>
  <c r="N3" i="4"/>
  <c r="M3" i="4"/>
  <c r="L3" i="4"/>
  <c r="K3" i="4"/>
  <c r="J42" i="4" l="1"/>
  <c r="K20" i="4"/>
  <c r="K23" i="4" s="1"/>
  <c r="K24" i="4" s="1"/>
  <c r="K33" i="4" s="1"/>
  <c r="K46" i="4"/>
  <c r="L46" i="4" s="1"/>
  <c r="M46" i="4" s="1"/>
  <c r="N46" i="4" s="1"/>
  <c r="J35" i="4"/>
  <c r="Q47" i="4"/>
  <c r="R47" i="4" s="1"/>
  <c r="Q48" i="4"/>
  <c r="R48" i="4" s="1"/>
  <c r="K42" i="4" l="1"/>
  <c r="K30" i="4"/>
  <c r="K34" i="4" s="1"/>
  <c r="K35" i="4" s="1"/>
  <c r="L20" i="4"/>
  <c r="L23" i="4" s="1"/>
  <c r="M20" i="4" s="1"/>
  <c r="M23" i="4" s="1"/>
  <c r="K29" i="4"/>
  <c r="J54" i="4"/>
  <c r="K54" i="4" s="1"/>
  <c r="N42" i="4"/>
  <c r="L42" i="4"/>
  <c r="R49" i="4"/>
  <c r="L29" i="4"/>
  <c r="M42" i="4"/>
  <c r="J36" i="4"/>
  <c r="J60" i="4"/>
  <c r="L24" i="4" l="1"/>
  <c r="L33" i="4" s="1"/>
  <c r="J55" i="4"/>
  <c r="J61" i="4" s="1"/>
  <c r="J62" i="4" s="1"/>
  <c r="K55" i="4"/>
  <c r="K61" i="4" s="1"/>
  <c r="L54" i="4"/>
  <c r="L55" i="4" s="1"/>
  <c r="N54" i="4"/>
  <c r="N55" i="4" s="1"/>
  <c r="L30" i="4"/>
  <c r="L34" i="4" s="1"/>
  <c r="M54" i="4"/>
  <c r="M55" i="4" s="1"/>
  <c r="K36" i="4"/>
  <c r="K60" i="4"/>
  <c r="M29" i="4"/>
  <c r="M24" i="4"/>
  <c r="M33" i="4" s="1"/>
  <c r="N20" i="4"/>
  <c r="N23" i="4" s="1"/>
  <c r="M30" i="4"/>
  <c r="M34" i="4" s="1"/>
  <c r="L35" i="4" l="1"/>
  <c r="N61" i="4"/>
  <c r="M61" i="4"/>
  <c r="L61" i="4"/>
  <c r="L36" i="4"/>
  <c r="L60" i="4"/>
  <c r="N24" i="4"/>
  <c r="N33" i="4" s="1"/>
  <c r="N29" i="4"/>
  <c r="M35" i="4"/>
  <c r="N30" i="4"/>
  <c r="N34" i="4" s="1"/>
  <c r="K62" i="4"/>
  <c r="J63" i="4"/>
  <c r="J64" i="4" l="1"/>
  <c r="K63" i="4"/>
  <c r="M36" i="4"/>
  <c r="M60" i="4"/>
  <c r="N35" i="4"/>
  <c r="L62" i="4"/>
  <c r="L63" i="4" l="1"/>
  <c r="N36" i="4"/>
  <c r="N60" i="4"/>
  <c r="M62" i="4"/>
  <c r="K64" i="4"/>
  <c r="J66" i="4"/>
  <c r="J65" i="4" s="1"/>
  <c r="J68" i="4" l="1"/>
  <c r="J67" i="4"/>
  <c r="K66" i="4"/>
  <c r="K65" i="4" s="1"/>
  <c r="M63" i="4"/>
  <c r="N62" i="4"/>
  <c r="L64" i="4"/>
  <c r="N63" i="4" l="1"/>
  <c r="L66" i="4"/>
  <c r="L65" i="4" s="1"/>
  <c r="M64" i="4"/>
  <c r="K68" i="4"/>
  <c r="K67" i="4"/>
  <c r="K71" i="4" l="1"/>
  <c r="M66" i="4"/>
  <c r="M65" i="4" s="1"/>
  <c r="L68" i="4"/>
  <c r="L67" i="4"/>
  <c r="N64" i="4"/>
  <c r="N66" i="4" l="1"/>
  <c r="N65" i="4" s="1"/>
  <c r="L71" i="4"/>
  <c r="M68" i="4"/>
  <c r="M67" i="4"/>
  <c r="M71" i="4" l="1"/>
  <c r="N68" i="4"/>
  <c r="N71" i="4" s="1"/>
  <c r="N67" i="4"/>
  <c r="G7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Yelnur Abdikarimov</author>
  </authors>
  <commentList>
    <comment ref="G24" authorId="0" shapeId="0" xr:uid="{0E6E08C1-2734-42B3-A3CD-49AF493F0ACD}">
      <text>
        <r>
          <rPr>
            <b/>
            <sz val="9"/>
            <color indexed="81"/>
            <rFont val="Tahoma"/>
            <family val="2"/>
            <charset val="204"/>
          </rPr>
          <t>Yelnur Abdikarimov:</t>
        </r>
        <r>
          <rPr>
            <sz val="9"/>
            <color indexed="81"/>
            <rFont val="Tahoma"/>
            <family val="2"/>
            <charset val="204"/>
          </rPr>
          <t xml:space="preserve">
Частота трансферов. У большинства футболистов контракты на 2 года.</t>
        </r>
      </text>
    </comment>
    <comment ref="G67" authorId="0" shapeId="0" xr:uid="{03085931-2C64-4408-9A9B-42B4C4D6957E}">
      <text>
        <r>
          <rPr>
            <b/>
            <sz val="9"/>
            <color indexed="81"/>
            <rFont val="Tahoma"/>
            <family val="2"/>
            <charset val="204"/>
          </rPr>
          <t>Yelnur Abdikarimov:</t>
        </r>
        <r>
          <rPr>
            <sz val="9"/>
            <color indexed="81"/>
            <rFont val="Tahoma"/>
            <family val="2"/>
            <charset val="204"/>
          </rPr>
          <t xml:space="preserve">
Доля основателей</t>
        </r>
      </text>
    </comment>
  </commentList>
</comments>
</file>

<file path=xl/sharedStrings.xml><?xml version="1.0" encoding="utf-8"?>
<sst xmlns="http://schemas.openxmlformats.org/spreadsheetml/2006/main" count="169" uniqueCount="70">
  <si>
    <t>Год</t>
  </si>
  <si>
    <t>ед.изм</t>
  </si>
  <si>
    <t>источник</t>
  </si>
  <si>
    <t>конст.</t>
  </si>
  <si>
    <t>Начало</t>
  </si>
  <si>
    <t>Конец</t>
  </si>
  <si>
    <t>Вводные данные</t>
  </si>
  <si>
    <t>Inflation</t>
  </si>
  <si>
    <t>EUR/USD</t>
  </si>
  <si>
    <t>EUR/KZT</t>
  </si>
  <si>
    <t>Клиентская база</t>
  </si>
  <si>
    <t>Клиенты на начало периода</t>
  </si>
  <si>
    <t>Приток</t>
  </si>
  <si>
    <t>Отток</t>
  </si>
  <si>
    <t>Клиенты на конец периода</t>
  </si>
  <si>
    <t>Доходы</t>
  </si>
  <si>
    <t>USD/KZT</t>
  </si>
  <si>
    <t>KZT</t>
  </si>
  <si>
    <t>%</t>
  </si>
  <si>
    <t>чел.</t>
  </si>
  <si>
    <t>ЗП клиентов</t>
  </si>
  <si>
    <t>Кол-во клиентов</t>
  </si>
  <si>
    <t>План</t>
  </si>
  <si>
    <t>ИИ</t>
  </si>
  <si>
    <t>USD</t>
  </si>
  <si>
    <t>Прогноз</t>
  </si>
  <si>
    <t>Средняя ЗП футболистов в месяц</t>
  </si>
  <si>
    <t>Средняя сумма трансфера</t>
  </si>
  <si>
    <t>EUR</t>
  </si>
  <si>
    <t>Кол-во трансферов</t>
  </si>
  <si>
    <t>НК</t>
  </si>
  <si>
    <t>Расходы</t>
  </si>
  <si>
    <t>Итого доходы</t>
  </si>
  <si>
    <t>Связь и интернет</t>
  </si>
  <si>
    <t>Аренда офиса и ком.услуги</t>
  </si>
  <si>
    <t>Уборка офиса</t>
  </si>
  <si>
    <t>Командировочные расходы</t>
  </si>
  <si>
    <t>Представительские расходы</t>
  </si>
  <si>
    <t>ФОТ</t>
  </si>
  <si>
    <t>Итого расходы</t>
  </si>
  <si>
    <t>Прибыль до КПН</t>
  </si>
  <si>
    <t>КПН</t>
  </si>
  <si>
    <t>Прибыль за год</t>
  </si>
  <si>
    <t>Дивиденды</t>
  </si>
  <si>
    <t>Размер дивидендов (от прибыли)</t>
  </si>
  <si>
    <t>Profit &amp; Loss</t>
  </si>
  <si>
    <t>Прочие операционные расходы (визы, подготовка документов и т.д.)</t>
  </si>
  <si>
    <t>FIRST TALENT's TOUCH</t>
  </si>
  <si>
    <t>Финансовая модель 2026-2030</t>
  </si>
  <si>
    <t>Доход на 1 игрока</t>
  </si>
  <si>
    <t>Подписки на аналитические сервисы</t>
  </si>
  <si>
    <t>CEO</t>
  </si>
  <si>
    <t>СММ-маркетинг</t>
  </si>
  <si>
    <t>Основатели</t>
  </si>
  <si>
    <t>Комиссия с трансферов (8%)</t>
  </si>
  <si>
    <t>Комиссия с зарплаты игрока (5%)</t>
  </si>
  <si>
    <t>Инвестор 1</t>
  </si>
  <si>
    <t>Investor 1</t>
  </si>
  <si>
    <t>IRR</t>
  </si>
  <si>
    <t>Внутренняя норма доходности (IRR)</t>
  </si>
  <si>
    <t>Юридическое и Бухгалтерское сопровождение</t>
  </si>
  <si>
    <t>*</t>
  </si>
  <si>
    <t>Организация просмотров в Европе (футболистам не клиентам)</t>
  </si>
  <si>
    <t>Кол-во просмотров в Европе</t>
  </si>
  <si>
    <t>Себестоимость просмотра в Европе</t>
  </si>
  <si>
    <t>Скаут</t>
  </si>
  <si>
    <t>Исп</t>
  </si>
  <si>
    <t>Каз</t>
  </si>
  <si>
    <t>CFO</t>
  </si>
  <si>
    <t>Капитал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</si>
</sst>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i/>
      <sz val="11"/>
      <color theme="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11"/>
      <color rgb="FF0070C0"/>
      <name val="Calibri"/>
      <family val="2"/>
      <charset val="204"/>
      <scheme val="minor"/>
    </font>
    <font>
      <sz val="11"/>
      <color rgb="FF00B05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27F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5F5F5F"/>
      </left>
      <right style="hair">
        <color rgb="FF5F5F5F"/>
      </right>
      <top style="hair">
        <color rgb="FF5F5F5F"/>
      </top>
      <bottom style="hair">
        <color rgb="FF5F5F5F"/>
      </bottom>
      <diagonal/>
    </border>
    <border>
      <left style="hair">
        <color rgb="FF5F5F5F"/>
      </left>
      <right style="hair">
        <color rgb="FF5F5F5F"/>
      </right>
      <top/>
      <bottom style="hair">
        <color rgb="FF5F5F5F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62">
    <xf numFmtId="0" fontId="0" fillId="0" borderId="0" xfId="0"/>
    <xf numFmtId="0" fontId="5" fillId="2" borderId="0" xfId="2" applyFont="1" applyFill="1"/>
    <xf numFmtId="0" fontId="5" fillId="2" borderId="0" xfId="2" applyFont="1" applyFill="1" applyAlignment="1">
      <alignment horizontal="center"/>
    </xf>
    <xf numFmtId="0" fontId="5" fillId="2" borderId="0" xfId="2" applyFont="1" applyFill="1" applyAlignment="1">
      <alignment horizontal="right"/>
    </xf>
    <xf numFmtId="0" fontId="5" fillId="3" borderId="0" xfId="2" applyFont="1" applyFill="1" applyAlignment="1">
      <alignment horizontal="right"/>
    </xf>
    <xf numFmtId="0" fontId="5" fillId="3" borderId="0" xfId="2" applyFont="1" applyFill="1"/>
    <xf numFmtId="0" fontId="3" fillId="2" borderId="0" xfId="2" applyFont="1" applyFill="1"/>
    <xf numFmtId="0" fontId="3" fillId="2" borderId="0" xfId="2" applyFont="1" applyFill="1" applyAlignment="1">
      <alignment horizontal="center"/>
    </xf>
    <xf numFmtId="0" fontId="3" fillId="2" borderId="0" xfId="2" applyFont="1" applyFill="1" applyAlignment="1">
      <alignment horizontal="right"/>
    </xf>
    <xf numFmtId="0" fontId="3" fillId="3" borderId="0" xfId="2" applyFont="1" applyFill="1" applyAlignment="1">
      <alignment horizontal="right"/>
    </xf>
    <xf numFmtId="0" fontId="3" fillId="3" borderId="0" xfId="2" applyFont="1" applyFill="1"/>
    <xf numFmtId="164" fontId="5" fillId="3" borderId="0" xfId="2" applyNumberFormat="1" applyFont="1" applyFill="1" applyAlignment="1">
      <alignment horizontal="right"/>
    </xf>
    <xf numFmtId="0" fontId="2" fillId="0" borderId="0" xfId="3"/>
    <xf numFmtId="0" fontId="2" fillId="0" borderId="0" xfId="3" applyAlignment="1">
      <alignment horizontal="center"/>
    </xf>
    <xf numFmtId="0" fontId="4" fillId="4" borderId="0" xfId="3" applyFont="1" applyFill="1" applyAlignment="1">
      <alignment vertical="center"/>
    </xf>
    <xf numFmtId="0" fontId="2" fillId="4" borderId="0" xfId="3" applyFill="1" applyAlignment="1">
      <alignment vertical="center"/>
    </xf>
    <xf numFmtId="0" fontId="2" fillId="4" borderId="0" xfId="3" applyFill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3" applyAlignment="1">
      <alignment horizontal="right"/>
    </xf>
    <xf numFmtId="0" fontId="2" fillId="4" borderId="0" xfId="3" applyFill="1" applyAlignment="1">
      <alignment horizontal="right" vertical="center"/>
    </xf>
    <xf numFmtId="0" fontId="0" fillId="0" borderId="0" xfId="0" applyAlignment="1">
      <alignment horizontal="right"/>
    </xf>
    <xf numFmtId="165" fontId="0" fillId="0" borderId="1" xfId="0" applyNumberForma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9" fontId="0" fillId="0" borderId="1" xfId="1" applyFont="1" applyBorder="1" applyAlignment="1">
      <alignment horizontal="right"/>
    </xf>
    <xf numFmtId="3" fontId="6" fillId="5" borderId="2" xfId="2" applyNumberFormat="1" applyFont="1" applyFill="1" applyBorder="1"/>
    <xf numFmtId="9" fontId="6" fillId="5" borderId="2" xfId="4" applyFont="1" applyFill="1" applyBorder="1"/>
    <xf numFmtId="165" fontId="6" fillId="5" borderId="2" xfId="2" applyNumberFormat="1" applyFont="1" applyFill="1" applyBorder="1"/>
    <xf numFmtId="0" fontId="7" fillId="3" borderId="0" xfId="2" applyFont="1" applyFill="1" applyAlignment="1">
      <alignment horizontal="right"/>
    </xf>
    <xf numFmtId="0" fontId="4" fillId="4" borderId="0" xfId="0" applyFont="1" applyFill="1"/>
    <xf numFmtId="3" fontId="4" fillId="4" borderId="1" xfId="0" applyNumberFormat="1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 indent="1"/>
    </xf>
    <xf numFmtId="3" fontId="10" fillId="5" borderId="2" xfId="2" applyNumberFormat="1" applyFont="1" applyFill="1" applyBorder="1"/>
    <xf numFmtId="3" fontId="10" fillId="0" borderId="1" xfId="0" applyNumberFormat="1" applyFont="1" applyBorder="1" applyAlignment="1">
      <alignment horizontal="right"/>
    </xf>
    <xf numFmtId="9" fontId="0" fillId="0" borderId="0" xfId="1" applyFont="1"/>
    <xf numFmtId="0" fontId="0" fillId="0" borderId="5" xfId="0" applyBorder="1"/>
    <xf numFmtId="0" fontId="1" fillId="0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right"/>
    </xf>
    <xf numFmtId="3" fontId="0" fillId="0" borderId="6" xfId="0" applyNumberFormat="1" applyBorder="1" applyAlignment="1">
      <alignment horizontal="right"/>
    </xf>
    <xf numFmtId="0" fontId="10" fillId="0" borderId="0" xfId="0" applyFont="1" applyFill="1" applyAlignment="1">
      <alignment horizontal="center"/>
    </xf>
    <xf numFmtId="9" fontId="10" fillId="0" borderId="3" xfId="4" applyFont="1" applyFill="1" applyBorder="1"/>
    <xf numFmtId="3" fontId="10" fillId="0" borderId="4" xfId="0" applyNumberFormat="1" applyFont="1" applyBorder="1" applyAlignment="1">
      <alignment horizontal="right"/>
    </xf>
    <xf numFmtId="9" fontId="10" fillId="5" borderId="2" xfId="4" applyFont="1" applyFill="1" applyBorder="1"/>
    <xf numFmtId="9" fontId="11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2" fillId="0" borderId="0" xfId="0" applyFont="1"/>
    <xf numFmtId="3" fontId="12" fillId="0" borderId="0" xfId="0" applyNumberFormat="1" applyFont="1"/>
    <xf numFmtId="3" fontId="0" fillId="0" borderId="0" xfId="0" applyNumberFormat="1" applyBorder="1" applyAlignment="1">
      <alignment horizontal="right"/>
    </xf>
    <xf numFmtId="0" fontId="13" fillId="0" borderId="0" xfId="0" applyFont="1" applyAlignment="1">
      <alignment horizontal="center"/>
    </xf>
    <xf numFmtId="0" fontId="13" fillId="0" borderId="0" xfId="0" applyFont="1"/>
    <xf numFmtId="3" fontId="13" fillId="0" borderId="1" xfId="0" applyNumberFormat="1" applyFont="1" applyBorder="1" applyAlignment="1">
      <alignment horizontal="right"/>
    </xf>
  </cellXfs>
  <cellStyles count="5">
    <cellStyle name="Normal 2" xfId="2" xr:uid="{44A5254C-269F-4718-8E5A-68237F2A1177}"/>
    <cellStyle name="Обычный" xfId="0" builtinId="0"/>
    <cellStyle name="Обычный 2" xfId="3" xr:uid="{80BD42B3-77CA-47AB-9EC6-569CD3A39A64}"/>
    <cellStyle name="Процентный" xfId="1" builtinId="5"/>
    <cellStyle name="Процентный 2" xfId="4" xr:uid="{9B36650A-0935-44C2-8A8B-FCCF38611A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96A72-539F-4E16-A127-DD2DBBD31E41}">
  <dimension ref="A1:AE117"/>
  <sheetViews>
    <sheetView tabSelected="1" zoomScaleNormal="100" workbookViewId="0">
      <pane ySplit="5" topLeftCell="A37" activePane="bottomLeft" state="frozen"/>
      <selection pane="bottomLeft" activeCell="J53" sqref="J53"/>
    </sheetView>
  </sheetViews>
  <sheetFormatPr defaultRowHeight="14.4" outlineLevelRow="1" x14ac:dyDescent="0.3"/>
  <cols>
    <col min="1" max="2" width="3.5546875" customWidth="1"/>
    <col min="3" max="3" width="3.5546875" style="17" customWidth="1"/>
    <col min="4" max="4" width="76.6640625" customWidth="1"/>
    <col min="5" max="5" width="9.109375" style="17"/>
    <col min="6" max="6" width="9.109375" style="17" customWidth="1"/>
    <col min="7" max="7" width="10.33203125" style="20" bestFit="1" customWidth="1"/>
    <col min="10" max="14" width="12.6640625" style="20" customWidth="1"/>
  </cols>
  <sheetData>
    <row r="1" spans="1:31" s="5" customFormat="1" x14ac:dyDescent="0.3">
      <c r="A1" s="1"/>
      <c r="B1" s="1"/>
      <c r="C1" s="2"/>
      <c r="D1" s="1"/>
      <c r="E1" s="2"/>
      <c r="F1" s="2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s="10" customFormat="1" x14ac:dyDescent="0.3">
      <c r="A2" s="6"/>
      <c r="B2" s="6"/>
      <c r="C2" s="7"/>
      <c r="D2" s="6" t="s">
        <v>47</v>
      </c>
      <c r="E2" s="7"/>
      <c r="F2" s="7"/>
      <c r="G2" s="8"/>
      <c r="H2" s="8"/>
      <c r="I2" s="8"/>
      <c r="J2" s="9" t="s">
        <v>0</v>
      </c>
      <c r="K2" s="9" t="s">
        <v>0</v>
      </c>
      <c r="L2" s="9" t="s">
        <v>0</v>
      </c>
      <c r="M2" s="9" t="s">
        <v>0</v>
      </c>
      <c r="N2" s="9" t="s">
        <v>0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</row>
    <row r="3" spans="1:31" s="10" customFormat="1" x14ac:dyDescent="0.3">
      <c r="A3" s="6"/>
      <c r="B3" s="6"/>
      <c r="C3" s="7"/>
      <c r="D3" s="6" t="s">
        <v>48</v>
      </c>
      <c r="E3" s="7" t="s">
        <v>1</v>
      </c>
      <c r="F3" s="7" t="s">
        <v>2</v>
      </c>
      <c r="G3" s="8" t="s">
        <v>3</v>
      </c>
      <c r="H3" s="8"/>
      <c r="I3" s="8"/>
      <c r="J3" s="11">
        <v>46023</v>
      </c>
      <c r="K3" s="11">
        <f>J4+1</f>
        <v>46388</v>
      </c>
      <c r="L3" s="11">
        <f t="shared" ref="L3:N3" si="0">K4+1</f>
        <v>46753</v>
      </c>
      <c r="M3" s="11">
        <f t="shared" si="0"/>
        <v>47119</v>
      </c>
      <c r="N3" s="11">
        <f t="shared" si="0"/>
        <v>47484</v>
      </c>
      <c r="O3" s="29" t="s">
        <v>4</v>
      </c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1:31" s="10" customFormat="1" x14ac:dyDescent="0.3">
      <c r="A4" s="6"/>
      <c r="B4" s="6"/>
      <c r="C4" s="7"/>
      <c r="D4" s="1"/>
      <c r="E4" s="2"/>
      <c r="F4" s="2"/>
      <c r="G4" s="3"/>
      <c r="H4" s="8"/>
      <c r="I4" s="8"/>
      <c r="J4" s="11">
        <v>46387</v>
      </c>
      <c r="K4" s="11">
        <v>46752</v>
      </c>
      <c r="L4" s="11">
        <v>47118</v>
      </c>
      <c r="M4" s="11">
        <v>47483</v>
      </c>
      <c r="N4" s="11">
        <v>47848</v>
      </c>
      <c r="O4" s="29" t="s">
        <v>5</v>
      </c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spans="1:31" s="5" customFormat="1" x14ac:dyDescent="0.3">
      <c r="A5" s="1"/>
      <c r="B5" s="1"/>
      <c r="C5" s="2"/>
      <c r="D5" s="1"/>
      <c r="E5" s="2"/>
      <c r="F5" s="2"/>
      <c r="G5" s="3"/>
      <c r="H5" s="1"/>
      <c r="I5" s="3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1" s="12" customFormat="1" x14ac:dyDescent="0.3">
      <c r="C6" s="13"/>
      <c r="E6" s="13"/>
      <c r="F6" s="13"/>
      <c r="G6" s="18"/>
      <c r="J6" s="18"/>
      <c r="K6" s="18"/>
      <c r="L6" s="18"/>
      <c r="M6" s="18"/>
      <c r="N6" s="18"/>
    </row>
    <row r="7" spans="1:31" s="15" customFormat="1" x14ac:dyDescent="0.3">
      <c r="A7" s="14" t="s">
        <v>6</v>
      </c>
      <c r="C7" s="16"/>
      <c r="E7" s="16"/>
      <c r="F7" s="16"/>
      <c r="G7" s="19"/>
      <c r="J7" s="19"/>
      <c r="K7" s="19"/>
      <c r="L7" s="19"/>
      <c r="M7" s="19"/>
      <c r="N7" s="19"/>
    </row>
    <row r="9" spans="1:31" x14ac:dyDescent="0.3">
      <c r="D9" t="s">
        <v>9</v>
      </c>
      <c r="E9" s="17" t="s">
        <v>17</v>
      </c>
      <c r="F9" s="17" t="s">
        <v>23</v>
      </c>
      <c r="J9" s="23">
        <v>684</v>
      </c>
      <c r="K9" s="23">
        <v>720</v>
      </c>
      <c r="L9" s="23">
        <v>757</v>
      </c>
      <c r="M9" s="23">
        <v>794</v>
      </c>
      <c r="N9" s="23">
        <v>838</v>
      </c>
    </row>
    <row r="10" spans="1:31" x14ac:dyDescent="0.3">
      <c r="D10" t="s">
        <v>8</v>
      </c>
      <c r="E10" s="17" t="s">
        <v>24</v>
      </c>
      <c r="F10" s="17" t="s">
        <v>23</v>
      </c>
      <c r="J10" s="24">
        <v>1.18</v>
      </c>
      <c r="K10" s="24">
        <v>1.2</v>
      </c>
      <c r="L10" s="24">
        <v>1.22</v>
      </c>
      <c r="M10" s="24">
        <v>1.23</v>
      </c>
      <c r="N10" s="24">
        <v>1.25</v>
      </c>
    </row>
    <row r="11" spans="1:31" x14ac:dyDescent="0.3">
      <c r="D11" t="s">
        <v>16</v>
      </c>
      <c r="E11" s="17" t="s">
        <v>17</v>
      </c>
      <c r="F11" s="17" t="s">
        <v>23</v>
      </c>
      <c r="J11" s="23">
        <v>580</v>
      </c>
      <c r="K11" s="23">
        <v>600</v>
      </c>
      <c r="L11" s="23">
        <v>620</v>
      </c>
      <c r="M11" s="23">
        <v>645</v>
      </c>
      <c r="N11" s="23">
        <v>670</v>
      </c>
    </row>
    <row r="12" spans="1:31" x14ac:dyDescent="0.3">
      <c r="D12" t="s">
        <v>7</v>
      </c>
      <c r="E12" s="17" t="s">
        <v>18</v>
      </c>
      <c r="F12" s="17" t="s">
        <v>25</v>
      </c>
      <c r="G12" s="27">
        <v>7.0000000000000007E-2</v>
      </c>
      <c r="J12" s="25">
        <f>$G$12</f>
        <v>7.0000000000000007E-2</v>
      </c>
      <c r="K12" s="25">
        <f t="shared" ref="K12:N12" si="1">$G$12</f>
        <v>7.0000000000000007E-2</v>
      </c>
      <c r="L12" s="25">
        <f t="shared" si="1"/>
        <v>7.0000000000000007E-2</v>
      </c>
      <c r="M12" s="25">
        <f t="shared" si="1"/>
        <v>7.0000000000000007E-2</v>
      </c>
      <c r="N12" s="25">
        <f t="shared" si="1"/>
        <v>7.0000000000000007E-2</v>
      </c>
    </row>
    <row r="13" spans="1:31" x14ac:dyDescent="0.3">
      <c r="D13" t="s">
        <v>41</v>
      </c>
      <c r="E13" s="17" t="s">
        <v>18</v>
      </c>
      <c r="F13" s="17" t="s">
        <v>30</v>
      </c>
      <c r="G13" s="27">
        <v>0.2</v>
      </c>
      <c r="J13" s="25">
        <f>$G$13</f>
        <v>0.2</v>
      </c>
      <c r="K13" s="25">
        <f t="shared" ref="K13:N13" si="2">$G$13</f>
        <v>0.2</v>
      </c>
      <c r="L13" s="25">
        <f t="shared" si="2"/>
        <v>0.2</v>
      </c>
      <c r="M13" s="25">
        <f t="shared" si="2"/>
        <v>0.2</v>
      </c>
      <c r="N13" s="25">
        <f t="shared" si="2"/>
        <v>0.2</v>
      </c>
    </row>
    <row r="14" spans="1:31" x14ac:dyDescent="0.3">
      <c r="D14" t="s">
        <v>26</v>
      </c>
      <c r="E14" s="17" t="s">
        <v>17</v>
      </c>
      <c r="F14" s="17" t="s">
        <v>25</v>
      </c>
      <c r="G14" s="26">
        <v>2000000</v>
      </c>
      <c r="J14" s="23">
        <f>G14</f>
        <v>2000000</v>
      </c>
      <c r="K14" s="23">
        <f>J14*(1+$G$12)</f>
        <v>2140000</v>
      </c>
      <c r="L14" s="23">
        <f t="shared" ref="L14:N14" si="3">K14*(1+$G$12)</f>
        <v>2289800</v>
      </c>
      <c r="M14" s="23">
        <f t="shared" si="3"/>
        <v>2450086</v>
      </c>
      <c r="N14" s="23">
        <f t="shared" si="3"/>
        <v>2621592.02</v>
      </c>
    </row>
    <row r="15" spans="1:31" x14ac:dyDescent="0.3">
      <c r="C15" s="59"/>
      <c r="D15" s="60" t="s">
        <v>27</v>
      </c>
      <c r="E15" s="17" t="s">
        <v>28</v>
      </c>
      <c r="F15" s="17" t="s">
        <v>25</v>
      </c>
      <c r="J15" s="61">
        <v>0</v>
      </c>
      <c r="K15" s="61">
        <v>200000</v>
      </c>
      <c r="L15" s="61">
        <v>300000</v>
      </c>
      <c r="M15" s="61">
        <v>400000</v>
      </c>
      <c r="N15" s="61">
        <v>500000</v>
      </c>
    </row>
    <row r="16" spans="1:31" x14ac:dyDescent="0.3">
      <c r="D16" t="s">
        <v>44</v>
      </c>
      <c r="E16" s="17" t="s">
        <v>18</v>
      </c>
      <c r="F16" s="17" t="s">
        <v>25</v>
      </c>
      <c r="G16"/>
      <c r="J16" s="27">
        <v>0</v>
      </c>
      <c r="K16" s="27">
        <v>0.5</v>
      </c>
      <c r="L16" s="27">
        <v>0.7</v>
      </c>
      <c r="M16" s="27">
        <v>0.7</v>
      </c>
      <c r="N16" s="27">
        <v>0.7</v>
      </c>
    </row>
    <row r="18" spans="1:15" s="15" customFormat="1" x14ac:dyDescent="0.3">
      <c r="A18" s="14" t="s">
        <v>10</v>
      </c>
      <c r="C18" s="16"/>
      <c r="E18" s="16"/>
      <c r="F18" s="16"/>
      <c r="G18" s="19"/>
      <c r="J18" s="19"/>
      <c r="K18" s="19"/>
      <c r="L18" s="19"/>
      <c r="M18" s="19"/>
      <c r="N18" s="19"/>
    </row>
    <row r="20" spans="1:15" x14ac:dyDescent="0.3">
      <c r="D20" t="s">
        <v>11</v>
      </c>
      <c r="E20" s="17" t="s">
        <v>19</v>
      </c>
      <c r="F20" s="17" t="s">
        <v>22</v>
      </c>
      <c r="J20" s="28">
        <v>0</v>
      </c>
      <c r="K20" s="21">
        <f t="shared" ref="K20:N20" si="4">J23</f>
        <v>10</v>
      </c>
      <c r="L20" s="21">
        <f t="shared" si="4"/>
        <v>18</v>
      </c>
      <c r="M20" s="21">
        <f t="shared" si="4"/>
        <v>26</v>
      </c>
      <c r="N20" s="21">
        <f t="shared" si="4"/>
        <v>34</v>
      </c>
    </row>
    <row r="21" spans="1:15" x14ac:dyDescent="0.3">
      <c r="D21" t="s">
        <v>12</v>
      </c>
      <c r="E21" s="17" t="s">
        <v>19</v>
      </c>
      <c r="F21" s="17" t="s">
        <v>22</v>
      </c>
      <c r="J21" s="28">
        <v>10</v>
      </c>
      <c r="K21" s="28">
        <v>10</v>
      </c>
      <c r="L21" s="28">
        <v>10</v>
      </c>
      <c r="M21" s="28">
        <v>10</v>
      </c>
      <c r="N21" s="28">
        <v>10</v>
      </c>
    </row>
    <row r="22" spans="1:15" x14ac:dyDescent="0.3">
      <c r="D22" t="s">
        <v>13</v>
      </c>
      <c r="E22" s="17" t="s">
        <v>19</v>
      </c>
      <c r="F22" s="17" t="s">
        <v>22</v>
      </c>
      <c r="G22" s="27">
        <v>0.2</v>
      </c>
      <c r="J22" s="28">
        <v>0</v>
      </c>
      <c r="K22" s="21">
        <f>K21*$G$22</f>
        <v>2</v>
      </c>
      <c r="L22" s="21">
        <f>L21*$G$22</f>
        <v>2</v>
      </c>
      <c r="M22" s="21">
        <f>M21*$G$22</f>
        <v>2</v>
      </c>
      <c r="N22" s="21">
        <f>N21*$G$22</f>
        <v>2</v>
      </c>
    </row>
    <row r="23" spans="1:15" x14ac:dyDescent="0.3">
      <c r="D23" t="s">
        <v>14</v>
      </c>
      <c r="E23" s="17" t="s">
        <v>19</v>
      </c>
      <c r="F23" s="17" t="s">
        <v>22</v>
      </c>
      <c r="J23" s="22">
        <f t="shared" ref="J23:N23" si="5">J20+J21-J22</f>
        <v>10</v>
      </c>
      <c r="K23" s="22">
        <f t="shared" si="5"/>
        <v>18</v>
      </c>
      <c r="L23" s="22">
        <f t="shared" si="5"/>
        <v>26</v>
      </c>
      <c r="M23" s="22">
        <f t="shared" si="5"/>
        <v>34</v>
      </c>
      <c r="N23" s="22">
        <f t="shared" si="5"/>
        <v>42</v>
      </c>
    </row>
    <row r="24" spans="1:15" x14ac:dyDescent="0.3">
      <c r="D24" t="s">
        <v>29</v>
      </c>
      <c r="E24" s="17" t="s">
        <v>18</v>
      </c>
      <c r="F24" s="17" t="s">
        <v>22</v>
      </c>
      <c r="G24" s="27">
        <v>0.5</v>
      </c>
      <c r="J24" s="28">
        <v>0</v>
      </c>
      <c r="K24" s="21">
        <f>$G$24*K23</f>
        <v>9</v>
      </c>
      <c r="L24" s="21">
        <f t="shared" ref="L24:N24" si="6">$G$24*L23</f>
        <v>13</v>
      </c>
      <c r="M24" s="21">
        <f t="shared" si="6"/>
        <v>17</v>
      </c>
      <c r="N24" s="21">
        <f t="shared" si="6"/>
        <v>21</v>
      </c>
    </row>
    <row r="25" spans="1:15" x14ac:dyDescent="0.3">
      <c r="D25" t="s">
        <v>63</v>
      </c>
      <c r="E25" s="17" t="s">
        <v>19</v>
      </c>
      <c r="F25" s="17" t="s">
        <v>22</v>
      </c>
      <c r="J25" s="28">
        <v>50</v>
      </c>
      <c r="K25" s="28">
        <v>70</v>
      </c>
      <c r="L25" s="28">
        <v>100</v>
      </c>
      <c r="M25" s="28">
        <v>130</v>
      </c>
      <c r="N25" s="28">
        <v>150</v>
      </c>
    </row>
    <row r="27" spans="1:15" s="15" customFormat="1" x14ac:dyDescent="0.3">
      <c r="A27" s="14" t="s">
        <v>15</v>
      </c>
      <c r="C27" s="16"/>
      <c r="E27" s="16"/>
      <c r="F27" s="16"/>
      <c r="G27" s="19"/>
      <c r="J27" s="19"/>
      <c r="K27" s="19"/>
      <c r="L27" s="19"/>
      <c r="M27" s="19"/>
      <c r="N27" s="19"/>
    </row>
    <row r="29" spans="1:15" x14ac:dyDescent="0.3">
      <c r="D29" t="s">
        <v>21</v>
      </c>
      <c r="E29" s="17" t="s">
        <v>19</v>
      </c>
      <c r="F29" s="17" t="s">
        <v>22</v>
      </c>
      <c r="J29" s="21">
        <f>J23</f>
        <v>10</v>
      </c>
      <c r="K29" s="21">
        <f>K23</f>
        <v>18</v>
      </c>
      <c r="L29" s="21">
        <f>L23</f>
        <v>26</v>
      </c>
      <c r="M29" s="21">
        <f>M23</f>
        <v>34</v>
      </c>
      <c r="N29" s="21">
        <f>N23</f>
        <v>42</v>
      </c>
    </row>
    <row r="30" spans="1:15" x14ac:dyDescent="0.3">
      <c r="D30" t="s">
        <v>20</v>
      </c>
      <c r="E30" s="17" t="s">
        <v>17</v>
      </c>
      <c r="F30" s="17" t="s">
        <v>22</v>
      </c>
      <c r="J30" s="23">
        <f>$G$14*J29*6</f>
        <v>120000000</v>
      </c>
      <c r="K30" s="23">
        <f>$G$14*J29*12+$G$14*(K23-J21)*6</f>
        <v>336000000</v>
      </c>
      <c r="L30" s="23">
        <f>$G$14*K29*12+$G$14*(L23-K21)*6</f>
        <v>624000000</v>
      </c>
      <c r="M30" s="23">
        <f>$G$14*L29*12+$G$14*(M23-L21)*6</f>
        <v>912000000</v>
      </c>
      <c r="N30" s="23">
        <f>$G$14*M29*12+$G$14*(N23-M21)*6</f>
        <v>1200000000</v>
      </c>
    </row>
    <row r="31" spans="1:15" x14ac:dyDescent="0.3">
      <c r="J31"/>
      <c r="K31"/>
      <c r="L31"/>
      <c r="M31"/>
      <c r="N31"/>
    </row>
    <row r="32" spans="1:15" x14ac:dyDescent="0.3">
      <c r="D32" t="s">
        <v>62</v>
      </c>
      <c r="E32" s="17" t="s">
        <v>17</v>
      </c>
      <c r="F32" s="17" t="s">
        <v>22</v>
      </c>
      <c r="G32" s="26">
        <v>2000000</v>
      </c>
      <c r="J32" s="23">
        <f>$G$32*J25</f>
        <v>100000000</v>
      </c>
      <c r="K32" s="23">
        <f t="shared" ref="K32:N32" si="7">$G$32*K25</f>
        <v>140000000</v>
      </c>
      <c r="L32" s="23">
        <f t="shared" si="7"/>
        <v>200000000</v>
      </c>
      <c r="M32" s="23">
        <f t="shared" si="7"/>
        <v>260000000</v>
      </c>
      <c r="N32" s="23">
        <f t="shared" si="7"/>
        <v>300000000</v>
      </c>
      <c r="O32" s="42"/>
    </row>
    <row r="33" spans="1:19" x14ac:dyDescent="0.3">
      <c r="D33" t="s">
        <v>54</v>
      </c>
      <c r="E33" s="17" t="s">
        <v>17</v>
      </c>
      <c r="F33" s="17" t="s">
        <v>22</v>
      </c>
      <c r="G33" s="27">
        <v>0.08</v>
      </c>
      <c r="J33" s="23">
        <f>$G$33*J24*J15*J9</f>
        <v>0</v>
      </c>
      <c r="K33" s="23">
        <f>$G$33*K24*K15*K9</f>
        <v>103680000</v>
      </c>
      <c r="L33" s="23">
        <f>$G$33*L24*L15*L9</f>
        <v>236184000</v>
      </c>
      <c r="M33" s="23">
        <f>$G$33*M24*M15*M9</f>
        <v>431936000</v>
      </c>
      <c r="N33" s="23">
        <f>$G$33*N24*N15*N9</f>
        <v>703920000</v>
      </c>
      <c r="O33" s="42"/>
    </row>
    <row r="34" spans="1:19" x14ac:dyDescent="0.3">
      <c r="D34" t="s">
        <v>55</v>
      </c>
      <c r="E34" s="17" t="s">
        <v>17</v>
      </c>
      <c r="F34" s="17" t="s">
        <v>22</v>
      </c>
      <c r="G34" s="27">
        <v>0.05</v>
      </c>
      <c r="J34" s="23">
        <f>$G$34*J30</f>
        <v>6000000</v>
      </c>
      <c r="K34" s="23">
        <f>$G$34*K30</f>
        <v>16800000</v>
      </c>
      <c r="L34" s="23">
        <f>$G$34*L30</f>
        <v>31200000</v>
      </c>
      <c r="M34" s="23">
        <f>$G$34*M30</f>
        <v>45600000</v>
      </c>
      <c r="N34" s="23">
        <f>$G$34*N30</f>
        <v>60000000</v>
      </c>
      <c r="O34" s="42"/>
    </row>
    <row r="35" spans="1:19" x14ac:dyDescent="0.3">
      <c r="D35" s="30" t="s">
        <v>32</v>
      </c>
      <c r="E35" s="17" t="s">
        <v>17</v>
      </c>
      <c r="F35" s="17" t="s">
        <v>22</v>
      </c>
      <c r="J35" s="31">
        <f>SUM(J32:J34)</f>
        <v>106000000</v>
      </c>
      <c r="K35" s="31">
        <f t="shared" ref="K35:N35" si="8">SUM(K32:K34)</f>
        <v>260480000</v>
      </c>
      <c r="L35" s="31">
        <f t="shared" si="8"/>
        <v>467384000</v>
      </c>
      <c r="M35" s="31">
        <f t="shared" si="8"/>
        <v>737536000</v>
      </c>
      <c r="N35" s="31">
        <f t="shared" si="8"/>
        <v>1063920000</v>
      </c>
      <c r="O35" s="42"/>
      <c r="S35" s="42"/>
    </row>
    <row r="36" spans="1:19" x14ac:dyDescent="0.3">
      <c r="D36" s="34" t="s">
        <v>49</v>
      </c>
      <c r="E36" s="35" t="s">
        <v>17</v>
      </c>
      <c r="F36" s="35" t="s">
        <v>22</v>
      </c>
      <c r="G36" s="36"/>
      <c r="H36" s="34"/>
      <c r="I36" s="34"/>
      <c r="J36" s="37">
        <f>J35/J29</f>
        <v>10600000</v>
      </c>
      <c r="K36" s="37">
        <f>K35/K29</f>
        <v>14471111.111111112</v>
      </c>
      <c r="L36" s="37">
        <f>L35/L29</f>
        <v>17976307.692307692</v>
      </c>
      <c r="M36" s="37">
        <f>M35/M29</f>
        <v>21692235.294117648</v>
      </c>
      <c r="N36" s="37">
        <f>N35/N29</f>
        <v>25331428.571428571</v>
      </c>
    </row>
    <row r="37" spans="1:19" x14ac:dyDescent="0.3">
      <c r="G37"/>
    </row>
    <row r="39" spans="1:19" s="15" customFormat="1" x14ac:dyDescent="0.3">
      <c r="A39" s="14" t="s">
        <v>31</v>
      </c>
      <c r="C39" s="16"/>
      <c r="E39" s="16"/>
      <c r="F39" s="16"/>
      <c r="G39" s="19"/>
      <c r="J39" s="19"/>
      <c r="K39" s="19"/>
      <c r="L39" s="19"/>
      <c r="M39" s="19"/>
      <c r="N39" s="19"/>
    </row>
    <row r="41" spans="1:19" x14ac:dyDescent="0.3">
      <c r="C41" s="17" t="s">
        <v>61</v>
      </c>
      <c r="D41" t="s">
        <v>64</v>
      </c>
      <c r="E41" s="17" t="s">
        <v>17</v>
      </c>
      <c r="F41" s="17" t="s">
        <v>22</v>
      </c>
      <c r="G41" s="26">
        <v>600000</v>
      </c>
      <c r="J41" s="23">
        <f>$G$41*J25</f>
        <v>30000000</v>
      </c>
      <c r="K41" s="23">
        <f t="shared" ref="K41:N41" si="9">$G$41*K25</f>
        <v>42000000</v>
      </c>
      <c r="L41" s="23">
        <f t="shared" si="9"/>
        <v>60000000</v>
      </c>
      <c r="M41" s="23">
        <f t="shared" si="9"/>
        <v>78000000</v>
      </c>
      <c r="N41" s="23">
        <f t="shared" si="9"/>
        <v>90000000</v>
      </c>
    </row>
    <row r="42" spans="1:19" x14ac:dyDescent="0.3">
      <c r="C42" s="17" t="s">
        <v>61</v>
      </c>
      <c r="D42" s="38" t="s">
        <v>38</v>
      </c>
      <c r="E42" s="17" t="s">
        <v>17</v>
      </c>
      <c r="F42" s="17" t="s">
        <v>22</v>
      </c>
      <c r="J42" s="23">
        <f>SUM(J43:J46)</f>
        <v>42000000</v>
      </c>
      <c r="K42" s="23">
        <f>J42</f>
        <v>42000000</v>
      </c>
      <c r="L42" s="23">
        <f>SUM(L43:L46)</f>
        <v>42252000</v>
      </c>
      <c r="M42" s="23">
        <f>SUM(M43:M46)</f>
        <v>42521640</v>
      </c>
      <c r="N42" s="23">
        <f>SUM(N43:N46)</f>
        <v>42810154.799999997</v>
      </c>
    </row>
    <row r="43" spans="1:19" outlineLevel="1" x14ac:dyDescent="0.3">
      <c r="D43" s="39" t="s">
        <v>51</v>
      </c>
      <c r="E43" s="35" t="s">
        <v>17</v>
      </c>
      <c r="F43" s="35" t="s">
        <v>22</v>
      </c>
      <c r="G43" s="40">
        <v>1700000</v>
      </c>
      <c r="H43" s="34"/>
      <c r="I43" s="34"/>
      <c r="J43" s="41">
        <f>$G43*12</f>
        <v>20400000</v>
      </c>
      <c r="K43" s="41">
        <f t="shared" ref="K43:K54" si="10">J43</f>
        <v>20400000</v>
      </c>
      <c r="L43" s="41">
        <f t="shared" ref="L43" si="11">K43</f>
        <v>20400000</v>
      </c>
      <c r="M43" s="41">
        <f t="shared" ref="M43" si="12">L43</f>
        <v>20400000</v>
      </c>
      <c r="N43" s="41">
        <f t="shared" ref="N43" si="13">M43</f>
        <v>20400000</v>
      </c>
    </row>
    <row r="44" spans="1:19" outlineLevel="1" x14ac:dyDescent="0.3">
      <c r="D44" s="39" t="s">
        <v>68</v>
      </c>
      <c r="E44" s="35" t="s">
        <v>17</v>
      </c>
      <c r="F44" s="35" t="s">
        <v>22</v>
      </c>
      <c r="G44" s="40">
        <v>1000000</v>
      </c>
      <c r="H44" s="34"/>
      <c r="I44" s="34"/>
      <c r="J44" s="41">
        <f t="shared" ref="J44" si="14">$G44*12</f>
        <v>12000000</v>
      </c>
      <c r="K44" s="41">
        <f t="shared" ref="K44" si="15">J44</f>
        <v>12000000</v>
      </c>
      <c r="L44" s="41">
        <f t="shared" ref="L44:L45" si="16">K44</f>
        <v>12000000</v>
      </c>
      <c r="M44" s="41">
        <f t="shared" ref="M44:M45" si="17">L44</f>
        <v>12000000</v>
      </c>
      <c r="N44" s="41">
        <f t="shared" ref="N44:N45" si="18">M44</f>
        <v>12000000</v>
      </c>
    </row>
    <row r="45" spans="1:19" outlineLevel="1" x14ac:dyDescent="0.3">
      <c r="D45" s="39" t="s">
        <v>65</v>
      </c>
      <c r="E45" s="35" t="s">
        <v>17</v>
      </c>
      <c r="F45" s="35" t="s">
        <v>22</v>
      </c>
      <c r="G45" s="40">
        <v>500000</v>
      </c>
      <c r="H45" s="34"/>
      <c r="I45" s="34"/>
      <c r="J45" s="41">
        <f t="shared" ref="J45:J46" si="19">$G45*12</f>
        <v>6000000</v>
      </c>
      <c r="K45" s="41">
        <f t="shared" si="10"/>
        <v>6000000</v>
      </c>
      <c r="L45" s="41">
        <f t="shared" si="16"/>
        <v>6000000</v>
      </c>
      <c r="M45" s="41">
        <f t="shared" si="17"/>
        <v>6000000</v>
      </c>
      <c r="N45" s="41">
        <f t="shared" si="18"/>
        <v>6000000</v>
      </c>
    </row>
    <row r="46" spans="1:19" outlineLevel="1" x14ac:dyDescent="0.3">
      <c r="C46" s="17" t="s">
        <v>61</v>
      </c>
      <c r="D46" t="s">
        <v>60</v>
      </c>
      <c r="E46" s="17" t="s">
        <v>17</v>
      </c>
      <c r="F46" s="17" t="s">
        <v>22</v>
      </c>
      <c r="G46" s="26">
        <v>300000</v>
      </c>
      <c r="H46" s="34"/>
      <c r="I46" s="34"/>
      <c r="J46" s="23">
        <f t="shared" si="19"/>
        <v>3600000</v>
      </c>
      <c r="K46" s="23">
        <f t="shared" si="10"/>
        <v>3600000</v>
      </c>
      <c r="L46" s="23">
        <f t="shared" ref="L46:N53" si="20">K46*(1+$G$12)</f>
        <v>3852000</v>
      </c>
      <c r="M46" s="23">
        <f t="shared" si="20"/>
        <v>4121640.0000000005</v>
      </c>
      <c r="N46" s="23">
        <f t="shared" si="20"/>
        <v>4410154.8000000007</v>
      </c>
    </row>
    <row r="47" spans="1:19" x14ac:dyDescent="0.3">
      <c r="C47" s="17" t="s">
        <v>61</v>
      </c>
      <c r="D47" t="s">
        <v>36</v>
      </c>
      <c r="E47" s="17" t="s">
        <v>17</v>
      </c>
      <c r="F47" s="17" t="s">
        <v>22</v>
      </c>
      <c r="G47" s="26">
        <v>750000</v>
      </c>
      <c r="J47" s="23">
        <f t="shared" ref="J47:J52" si="21">G47*12</f>
        <v>9000000</v>
      </c>
      <c r="K47" s="23">
        <f t="shared" si="10"/>
        <v>9000000</v>
      </c>
      <c r="L47" s="23">
        <f t="shared" si="20"/>
        <v>9630000</v>
      </c>
      <c r="M47" s="23">
        <f t="shared" si="20"/>
        <v>10304100</v>
      </c>
      <c r="N47" s="23">
        <f t="shared" si="20"/>
        <v>11025387</v>
      </c>
      <c r="P47" s="56">
        <f>4*600000+4*10*50000</f>
        <v>4400000</v>
      </c>
      <c r="Q47" s="56">
        <f>P47/2</f>
        <v>2200000</v>
      </c>
      <c r="R47" s="57">
        <f>SUM(P47:Q47)</f>
        <v>6600000</v>
      </c>
      <c r="S47" s="56" t="s">
        <v>66</v>
      </c>
    </row>
    <row r="48" spans="1:19" x14ac:dyDescent="0.3">
      <c r="C48" s="17" t="s">
        <v>61</v>
      </c>
      <c r="D48" t="s">
        <v>37</v>
      </c>
      <c r="E48" s="17" t="s">
        <v>17</v>
      </c>
      <c r="F48" s="17" t="s">
        <v>22</v>
      </c>
      <c r="G48" s="26">
        <v>200000</v>
      </c>
      <c r="J48" s="23">
        <f t="shared" si="21"/>
        <v>2400000</v>
      </c>
      <c r="K48" s="23">
        <f t="shared" si="10"/>
        <v>2400000</v>
      </c>
      <c r="L48" s="23">
        <f t="shared" si="20"/>
        <v>2568000</v>
      </c>
      <c r="M48" s="23">
        <f t="shared" si="20"/>
        <v>2747760</v>
      </c>
      <c r="N48" s="23">
        <f t="shared" si="20"/>
        <v>2940103.2</v>
      </c>
      <c r="P48" s="56">
        <f>5*50000+5*20000</f>
        <v>350000</v>
      </c>
      <c r="Q48" s="56">
        <f>P48/2</f>
        <v>175000</v>
      </c>
      <c r="R48" s="57">
        <f>SUM(P48:Q48)</f>
        <v>525000</v>
      </c>
      <c r="S48" s="56" t="s">
        <v>67</v>
      </c>
    </row>
    <row r="49" spans="1:19" x14ac:dyDescent="0.3">
      <c r="C49" s="17" t="s">
        <v>61</v>
      </c>
      <c r="D49" t="s">
        <v>34</v>
      </c>
      <c r="E49" s="17" t="s">
        <v>17</v>
      </c>
      <c r="F49" s="17" t="s">
        <v>22</v>
      </c>
      <c r="G49" s="26">
        <v>900000</v>
      </c>
      <c r="J49" s="23">
        <f>G49*6</f>
        <v>5400000</v>
      </c>
      <c r="K49" s="23">
        <f t="shared" si="10"/>
        <v>5400000</v>
      </c>
      <c r="L49" s="23">
        <f t="shared" si="20"/>
        <v>5778000</v>
      </c>
      <c r="M49" s="23">
        <f t="shared" si="20"/>
        <v>6182460</v>
      </c>
      <c r="N49" s="23">
        <f t="shared" si="20"/>
        <v>6615232.2000000002</v>
      </c>
      <c r="P49" s="56"/>
      <c r="Q49" s="56"/>
      <c r="R49" s="57">
        <f>SUM(R47:R48)</f>
        <v>7125000</v>
      </c>
      <c r="S49" s="56"/>
    </row>
    <row r="50" spans="1:19" x14ac:dyDescent="0.3">
      <c r="C50" s="17" t="s">
        <v>61</v>
      </c>
      <c r="D50" t="s">
        <v>33</v>
      </c>
      <c r="E50" s="17" t="s">
        <v>17</v>
      </c>
      <c r="F50" s="17" t="s">
        <v>22</v>
      </c>
      <c r="G50" s="26">
        <v>60000</v>
      </c>
      <c r="J50" s="23">
        <f t="shared" si="21"/>
        <v>720000</v>
      </c>
      <c r="K50" s="23">
        <f t="shared" si="10"/>
        <v>720000</v>
      </c>
      <c r="L50" s="23">
        <f t="shared" si="20"/>
        <v>770400</v>
      </c>
      <c r="M50" s="23">
        <f t="shared" si="20"/>
        <v>824328</v>
      </c>
      <c r="N50" s="23">
        <f t="shared" si="20"/>
        <v>882030.96000000008</v>
      </c>
    </row>
    <row r="51" spans="1:19" x14ac:dyDescent="0.3">
      <c r="C51" s="17" t="s">
        <v>61</v>
      </c>
      <c r="D51" t="s">
        <v>50</v>
      </c>
      <c r="E51" s="17" t="s">
        <v>17</v>
      </c>
      <c r="F51" s="17" t="s">
        <v>22</v>
      </c>
      <c r="G51" s="26">
        <v>30000</v>
      </c>
      <c r="J51" s="23">
        <f t="shared" si="21"/>
        <v>360000</v>
      </c>
      <c r="K51" s="23">
        <f t="shared" si="10"/>
        <v>360000</v>
      </c>
      <c r="L51" s="23">
        <f t="shared" si="20"/>
        <v>385200</v>
      </c>
      <c r="M51" s="23">
        <f t="shared" si="20"/>
        <v>412164</v>
      </c>
      <c r="N51" s="23">
        <f t="shared" si="20"/>
        <v>441015.48000000004</v>
      </c>
    </row>
    <row r="52" spans="1:19" x14ac:dyDescent="0.3">
      <c r="C52" s="17" t="s">
        <v>61</v>
      </c>
      <c r="D52" t="s">
        <v>35</v>
      </c>
      <c r="E52" s="17" t="s">
        <v>17</v>
      </c>
      <c r="F52" s="17" t="s">
        <v>22</v>
      </c>
      <c r="G52" s="26">
        <v>50000</v>
      </c>
      <c r="J52" s="23">
        <f t="shared" si="21"/>
        <v>600000</v>
      </c>
      <c r="K52" s="23">
        <f t="shared" si="10"/>
        <v>600000</v>
      </c>
      <c r="L52" s="23">
        <f t="shared" si="20"/>
        <v>642000</v>
      </c>
      <c r="M52" s="23">
        <f t="shared" si="20"/>
        <v>686940</v>
      </c>
      <c r="N52" s="23">
        <f t="shared" si="20"/>
        <v>735025.8</v>
      </c>
    </row>
    <row r="53" spans="1:19" x14ac:dyDescent="0.3">
      <c r="D53" t="s">
        <v>52</v>
      </c>
      <c r="E53" s="17" t="s">
        <v>17</v>
      </c>
      <c r="F53" s="17" t="s">
        <v>22</v>
      </c>
      <c r="G53" s="26">
        <v>400000</v>
      </c>
      <c r="J53" s="23">
        <f>G53*(12-4)</f>
        <v>3200000</v>
      </c>
      <c r="K53" s="23">
        <f>G53*12</f>
        <v>4800000</v>
      </c>
      <c r="L53" s="23">
        <f t="shared" si="20"/>
        <v>5136000</v>
      </c>
      <c r="M53" s="23">
        <f t="shared" si="20"/>
        <v>5495520</v>
      </c>
      <c r="N53" s="23">
        <f t="shared" si="20"/>
        <v>5880206.4000000004</v>
      </c>
    </row>
    <row r="54" spans="1:19" x14ac:dyDescent="0.3">
      <c r="D54" t="s">
        <v>46</v>
      </c>
      <c r="E54" s="17" t="s">
        <v>17</v>
      </c>
      <c r="F54" s="17" t="s">
        <v>22</v>
      </c>
      <c r="G54" s="27">
        <v>0.02</v>
      </c>
      <c r="J54" s="23">
        <f>SUM(J42:J53)*$G$54</f>
        <v>2113600</v>
      </c>
      <c r="K54" s="23">
        <f t="shared" si="10"/>
        <v>2113600</v>
      </c>
      <c r="L54" s="23">
        <f>SUM(L42:L53)*$G$54</f>
        <v>2188272</v>
      </c>
      <c r="M54" s="23">
        <f>SUM(M42:M53)*$G$54</f>
        <v>2233931.04</v>
      </c>
      <c r="N54" s="23">
        <f>SUM(N42:N53)*$G$54</f>
        <v>2282786.2127999999</v>
      </c>
    </row>
    <row r="55" spans="1:19" x14ac:dyDescent="0.3">
      <c r="D55" s="30" t="s">
        <v>39</v>
      </c>
      <c r="E55" s="17" t="s">
        <v>17</v>
      </c>
      <c r="F55" s="17" t="s">
        <v>22</v>
      </c>
      <c r="J55" s="31">
        <f>SUM(J41:J42,J46:J54)</f>
        <v>99393600</v>
      </c>
      <c r="K55" s="31">
        <f t="shared" ref="K55:N55" si="22">SUM(K41:K42,K46:K54)</f>
        <v>112993600</v>
      </c>
      <c r="L55" s="31">
        <f t="shared" si="22"/>
        <v>133201872</v>
      </c>
      <c r="M55" s="31">
        <f t="shared" si="22"/>
        <v>153530483.03999999</v>
      </c>
      <c r="N55" s="31">
        <f t="shared" si="22"/>
        <v>168022096.85279998</v>
      </c>
    </row>
    <row r="58" spans="1:19" s="15" customFormat="1" x14ac:dyDescent="0.3">
      <c r="A58" s="14" t="s">
        <v>45</v>
      </c>
      <c r="C58" s="16"/>
      <c r="E58" s="16"/>
      <c r="F58" s="16"/>
      <c r="G58" s="19"/>
      <c r="J58" s="19"/>
      <c r="K58" s="19"/>
      <c r="L58" s="19"/>
      <c r="M58" s="19"/>
      <c r="N58" s="19"/>
    </row>
    <row r="60" spans="1:19" x14ac:dyDescent="0.3">
      <c r="D60" t="s">
        <v>15</v>
      </c>
      <c r="E60" s="17" t="s">
        <v>17</v>
      </c>
      <c r="F60" s="17" t="s">
        <v>22</v>
      </c>
      <c r="J60" s="23">
        <f>J35</f>
        <v>106000000</v>
      </c>
      <c r="K60" s="23">
        <f>K35</f>
        <v>260480000</v>
      </c>
      <c r="L60" s="23">
        <f>L35</f>
        <v>467384000</v>
      </c>
      <c r="M60" s="23">
        <f>M35</f>
        <v>737536000</v>
      </c>
      <c r="N60" s="23">
        <f>N35</f>
        <v>1063920000</v>
      </c>
    </row>
    <row r="61" spans="1:19" x14ac:dyDescent="0.3">
      <c r="D61" t="s">
        <v>31</v>
      </c>
      <c r="E61" s="32" t="s">
        <v>17</v>
      </c>
      <c r="F61" s="17" t="s">
        <v>22</v>
      </c>
      <c r="H61" s="20"/>
      <c r="I61" s="20"/>
      <c r="J61" s="23">
        <f>-J55</f>
        <v>-99393600</v>
      </c>
      <c r="K61" s="23">
        <f t="shared" ref="K61:N61" si="23">-K55</f>
        <v>-112993600</v>
      </c>
      <c r="L61" s="23">
        <f t="shared" si="23"/>
        <v>-133201872</v>
      </c>
      <c r="M61" s="23">
        <f t="shared" si="23"/>
        <v>-153530483.03999999</v>
      </c>
      <c r="N61" s="23">
        <f t="shared" si="23"/>
        <v>-168022096.85279998</v>
      </c>
    </row>
    <row r="62" spans="1:19" x14ac:dyDescent="0.3">
      <c r="D62" s="30" t="s">
        <v>40</v>
      </c>
      <c r="E62" s="33" t="s">
        <v>17</v>
      </c>
      <c r="F62" s="17" t="s">
        <v>22</v>
      </c>
      <c r="H62" s="20"/>
      <c r="I62" s="20"/>
      <c r="J62" s="31">
        <f>SUM(J60:J61)</f>
        <v>6606400</v>
      </c>
      <c r="K62" s="31">
        <f t="shared" ref="K62:N62" si="24">SUM(K60:K61)</f>
        <v>147486400</v>
      </c>
      <c r="L62" s="31">
        <f t="shared" si="24"/>
        <v>334182128</v>
      </c>
      <c r="M62" s="31">
        <f t="shared" si="24"/>
        <v>584005516.96000004</v>
      </c>
      <c r="N62" s="31">
        <f t="shared" si="24"/>
        <v>895897903.14719999</v>
      </c>
    </row>
    <row r="63" spans="1:19" x14ac:dyDescent="0.3">
      <c r="D63" t="s">
        <v>41</v>
      </c>
      <c r="E63" s="33" t="s">
        <v>17</v>
      </c>
      <c r="F63" s="17" t="s">
        <v>22</v>
      </c>
      <c r="H63" s="20"/>
      <c r="I63" s="20"/>
      <c r="J63" s="23">
        <f>-$G$13*J62</f>
        <v>-1321280</v>
      </c>
      <c r="K63" s="23">
        <f t="shared" ref="K63:N63" si="25">-$G$13*K62</f>
        <v>-29497280</v>
      </c>
      <c r="L63" s="23">
        <f t="shared" si="25"/>
        <v>-66836425.600000001</v>
      </c>
      <c r="M63" s="23">
        <f t="shared" si="25"/>
        <v>-116801103.39200002</v>
      </c>
      <c r="N63" s="23">
        <f t="shared" si="25"/>
        <v>-179179580.62944001</v>
      </c>
    </row>
    <row r="64" spans="1:19" x14ac:dyDescent="0.3">
      <c r="D64" s="30" t="s">
        <v>42</v>
      </c>
      <c r="E64" s="33" t="s">
        <v>17</v>
      </c>
      <c r="F64" s="17" t="s">
        <v>22</v>
      </c>
      <c r="H64" s="20"/>
      <c r="I64" s="20"/>
      <c r="J64" s="31">
        <f>SUM(J62:J63)</f>
        <v>5285120</v>
      </c>
      <c r="K64" s="31">
        <f t="shared" ref="K64:N64" si="26">SUM(K62:K63)</f>
        <v>117989120</v>
      </c>
      <c r="L64" s="31">
        <f t="shared" si="26"/>
        <v>267345702.40000001</v>
      </c>
      <c r="M64" s="31">
        <f t="shared" si="26"/>
        <v>467204413.56800002</v>
      </c>
      <c r="N64" s="31">
        <f t="shared" si="26"/>
        <v>716718322.51776004</v>
      </c>
    </row>
    <row r="65" spans="1:14" x14ac:dyDescent="0.3">
      <c r="D65" t="s">
        <v>69</v>
      </c>
      <c r="E65" s="33" t="s">
        <v>17</v>
      </c>
      <c r="F65" s="17" t="s">
        <v>22</v>
      </c>
      <c r="H65" s="20"/>
      <c r="I65" s="20"/>
      <c r="J65" s="23">
        <f>J64-J66</f>
        <v>5285120</v>
      </c>
      <c r="K65" s="23">
        <f t="shared" ref="K65:N65" si="27">K64-K66</f>
        <v>58994560</v>
      </c>
      <c r="L65" s="23">
        <f t="shared" si="27"/>
        <v>80203710.719999999</v>
      </c>
      <c r="M65" s="23">
        <f t="shared" si="27"/>
        <v>140161324.0704</v>
      </c>
      <c r="N65" s="23">
        <f t="shared" si="27"/>
        <v>215015496.75532806</v>
      </c>
    </row>
    <row r="66" spans="1:14" x14ac:dyDescent="0.3">
      <c r="D66" s="43" t="s">
        <v>43</v>
      </c>
      <c r="E66" s="44" t="s">
        <v>17</v>
      </c>
      <c r="F66" s="45" t="s">
        <v>22</v>
      </c>
      <c r="G66" s="46"/>
      <c r="H66" s="46"/>
      <c r="I66" s="46"/>
      <c r="J66" s="47">
        <f>J64*J16</f>
        <v>0</v>
      </c>
      <c r="K66" s="47">
        <f>K64*K16</f>
        <v>58994560</v>
      </c>
      <c r="L66" s="47">
        <f>L64*L16</f>
        <v>187141991.68000001</v>
      </c>
      <c r="M66" s="47">
        <f>M64*M16</f>
        <v>327043089.49760002</v>
      </c>
      <c r="N66" s="47">
        <f>N64*N16</f>
        <v>501702825.76243198</v>
      </c>
    </row>
    <row r="67" spans="1:14" x14ac:dyDescent="0.3">
      <c r="D67" s="39" t="s">
        <v>53</v>
      </c>
      <c r="E67" s="48" t="s">
        <v>17</v>
      </c>
      <c r="F67" s="35" t="s">
        <v>22</v>
      </c>
      <c r="G67" s="49">
        <f>1-G68</f>
        <v>0.6</v>
      </c>
      <c r="H67" s="36"/>
      <c r="I67" s="36"/>
      <c r="J67" s="50">
        <f>$G$67*J$66</f>
        <v>0</v>
      </c>
      <c r="K67" s="50">
        <f t="shared" ref="K67:N67" si="28">$G$67*K$66</f>
        <v>35396736</v>
      </c>
      <c r="L67" s="50">
        <f t="shared" si="28"/>
        <v>112285195.008</v>
      </c>
      <c r="M67" s="50">
        <f t="shared" si="28"/>
        <v>196225853.69856</v>
      </c>
      <c r="N67" s="50">
        <f t="shared" si="28"/>
        <v>301021695.45745915</v>
      </c>
    </row>
    <row r="68" spans="1:14" x14ac:dyDescent="0.3">
      <c r="D68" s="39" t="s">
        <v>56</v>
      </c>
      <c r="E68" s="48" t="s">
        <v>17</v>
      </c>
      <c r="F68" s="35" t="s">
        <v>22</v>
      </c>
      <c r="G68" s="51">
        <v>0.4</v>
      </c>
      <c r="H68" s="36"/>
      <c r="I68" s="36"/>
      <c r="J68" s="41">
        <f>$G$68*J$66</f>
        <v>0</v>
      </c>
      <c r="K68" s="41">
        <f>$G$68*K$66</f>
        <v>23597824</v>
      </c>
      <c r="L68" s="41">
        <f>$G$68*L$66</f>
        <v>74856796.672000006</v>
      </c>
      <c r="M68" s="41">
        <f>$G$68*M$66</f>
        <v>130817235.79904002</v>
      </c>
      <c r="N68" s="41">
        <f>$G$68*N$66</f>
        <v>200681130.3049728</v>
      </c>
    </row>
    <row r="69" spans="1:14" x14ac:dyDescent="0.3">
      <c r="H69" s="20"/>
      <c r="I69" s="20"/>
    </row>
    <row r="70" spans="1:14" x14ac:dyDescent="0.3">
      <c r="D70" s="53" t="s">
        <v>59</v>
      </c>
      <c r="E70" s="54"/>
      <c r="F70" s="54"/>
      <c r="G70" s="55" t="s">
        <v>58</v>
      </c>
      <c r="H70" s="20"/>
      <c r="I70" s="20"/>
    </row>
    <row r="71" spans="1:14" x14ac:dyDescent="0.3">
      <c r="D71" t="s">
        <v>57</v>
      </c>
      <c r="E71" s="17" t="s">
        <v>18</v>
      </c>
      <c r="F71" s="17" t="s">
        <v>22</v>
      </c>
      <c r="G71" s="52">
        <f>IRR(J71:N71)</f>
        <v>0.6376975800918474</v>
      </c>
      <c r="H71" s="20"/>
      <c r="I71" s="20"/>
      <c r="J71" s="23">
        <v>-100000000</v>
      </c>
      <c r="K71" s="23">
        <f>K68</f>
        <v>23597824</v>
      </c>
      <c r="L71" s="23">
        <f>L68</f>
        <v>74856796.672000006</v>
      </c>
      <c r="M71" s="23">
        <f>M68</f>
        <v>130817235.79904002</v>
      </c>
      <c r="N71" s="23">
        <f>N68</f>
        <v>200681130.3049728</v>
      </c>
    </row>
    <row r="72" spans="1:14" x14ac:dyDescent="0.3">
      <c r="G72" s="52"/>
      <c r="H72" s="20"/>
      <c r="I72" s="20"/>
      <c r="J72" s="58"/>
      <c r="K72" s="58"/>
      <c r="L72" s="58"/>
      <c r="M72" s="58"/>
      <c r="N72" s="58"/>
    </row>
    <row r="73" spans="1:14" x14ac:dyDescent="0.3">
      <c r="G73" s="52"/>
      <c r="H73" s="20"/>
      <c r="I73" s="20"/>
      <c r="J73" s="58"/>
      <c r="K73" s="58"/>
      <c r="L73" s="58"/>
      <c r="M73" s="58"/>
      <c r="N73" s="58"/>
    </row>
    <row r="74" spans="1:14" s="15" customFormat="1" x14ac:dyDescent="0.3">
      <c r="A74" s="14" t="s">
        <v>5</v>
      </c>
      <c r="C74" s="16"/>
      <c r="E74" s="16"/>
      <c r="F74" s="16"/>
      <c r="G74" s="19"/>
      <c r="J74" s="19"/>
      <c r="K74" s="19"/>
      <c r="L74" s="19"/>
      <c r="M74" s="19"/>
      <c r="N74" s="19"/>
    </row>
    <row r="117" spans="7:7" x14ac:dyDescent="0.3">
      <c r="G117" s="20">
        <v>0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P&amp;L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Yelnur Abdikarimov</dc:creator>
  <cp:lastModifiedBy>Trust Logistic</cp:lastModifiedBy>
  <dcterms:created xsi:type="dcterms:W3CDTF">2015-06-05T18:17:20Z</dcterms:created>
  <dcterms:modified xsi:type="dcterms:W3CDTF">2025-11-08T14:45:42Z</dcterms:modified>
</cp:coreProperties>
</file>