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MASTERGOKZ\"/>
    </mc:Choice>
  </mc:AlternateContent>
  <bookViews>
    <workbookView xWindow="0" yWindow="0" windowWidth="11310" windowHeight="7515"/>
  </bookViews>
  <sheets>
    <sheet name="Sheet1" sheetId="1" r:id="rId1"/>
  </sheets>
  <definedNames>
    <definedName name="_xlnm.Print_Area" localSheetId="0">Sheet1!$A$3:$AP$84,Sheet1!$A$85:$J$114,Sheet1!$M$85:$Z$114,Sheet1!$AC$85:$AP$114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3" i="1" l="1"/>
  <c r="O38" i="1" l="1"/>
  <c r="O25" i="1" l="1"/>
  <c r="K88" i="1"/>
  <c r="K89" i="1"/>
  <c r="K90" i="1"/>
  <c r="K91" i="1"/>
  <c r="K92" i="1"/>
  <c r="K93" i="1"/>
  <c r="K94" i="1"/>
  <c r="K95" i="1"/>
  <c r="K96" i="1"/>
  <c r="K87" i="1"/>
  <c r="C90" i="1"/>
  <c r="D90" i="1"/>
  <c r="E90" i="1"/>
  <c r="F90" i="1"/>
  <c r="G90" i="1"/>
  <c r="H90" i="1"/>
  <c r="I90" i="1"/>
  <c r="J90" i="1"/>
  <c r="B90" i="1"/>
  <c r="AE5" i="1"/>
  <c r="AF5" i="1"/>
  <c r="AG5" i="1"/>
  <c r="AH5" i="1"/>
  <c r="AI5" i="1"/>
  <c r="AJ5" i="1"/>
  <c r="AK5" i="1"/>
  <c r="AL5" i="1"/>
  <c r="AM5" i="1"/>
  <c r="AN5" i="1"/>
  <c r="AO5" i="1"/>
  <c r="AD5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D90" i="1"/>
  <c r="AE9" i="1"/>
  <c r="AF9" i="1"/>
  <c r="AG9" i="1"/>
  <c r="AH9" i="1"/>
  <c r="AI9" i="1"/>
  <c r="AJ9" i="1"/>
  <c r="AK9" i="1"/>
  <c r="AL9" i="1"/>
  <c r="AM9" i="1"/>
  <c r="AN9" i="1"/>
  <c r="AO9" i="1"/>
  <c r="AD9" i="1"/>
  <c r="AE8" i="1"/>
  <c r="AF8" i="1"/>
  <c r="AG8" i="1"/>
  <c r="AH8" i="1"/>
  <c r="AI8" i="1"/>
  <c r="AJ8" i="1"/>
  <c r="AK8" i="1"/>
  <c r="AL8" i="1"/>
  <c r="AM8" i="1"/>
  <c r="AN8" i="1"/>
  <c r="AO8" i="1"/>
  <c r="AD8" i="1"/>
  <c r="J8" i="1"/>
  <c r="N38" i="1"/>
  <c r="O9" i="1"/>
  <c r="P9" i="1"/>
  <c r="Q9" i="1"/>
  <c r="R9" i="1"/>
  <c r="S9" i="1"/>
  <c r="T9" i="1"/>
  <c r="U9" i="1"/>
  <c r="V9" i="1"/>
  <c r="W9" i="1"/>
  <c r="X9" i="1"/>
  <c r="Y9" i="1"/>
  <c r="N9" i="1"/>
  <c r="N8" i="1"/>
  <c r="AF69" i="1"/>
  <c r="AI69" i="1"/>
  <c r="AJ69" i="1"/>
  <c r="AL69" i="1"/>
  <c r="AO69" i="1"/>
  <c r="AD69" i="1"/>
  <c r="N69" i="1"/>
  <c r="AP27" i="1"/>
  <c r="AP26" i="1"/>
  <c r="AO25" i="1"/>
  <c r="AN25" i="1"/>
  <c r="AN69" i="1" s="1"/>
  <c r="AM25" i="1"/>
  <c r="AM69" i="1" s="1"/>
  <c r="AL25" i="1"/>
  <c r="AK25" i="1"/>
  <c r="AK69" i="1" s="1"/>
  <c r="AJ25" i="1"/>
  <c r="AI25" i="1"/>
  <c r="AH25" i="1"/>
  <c r="AH69" i="1" s="1"/>
  <c r="AG25" i="1"/>
  <c r="AG69" i="1" s="1"/>
  <c r="AF25" i="1"/>
  <c r="AE25" i="1"/>
  <c r="AE69" i="1" s="1"/>
  <c r="AD25" i="1"/>
  <c r="Z26" i="1"/>
  <c r="B29" i="1"/>
  <c r="D29" i="1"/>
  <c r="E29" i="1"/>
  <c r="F29" i="1"/>
  <c r="G29" i="1"/>
  <c r="H29" i="1"/>
  <c r="I29" i="1"/>
  <c r="AP25" i="1" l="1"/>
  <c r="AP112" i="1" l="1"/>
  <c r="AP110" i="1"/>
  <c r="AP99" i="1"/>
  <c r="AP100" i="1"/>
  <c r="AP101" i="1"/>
  <c r="AP104" i="1"/>
  <c r="AP106" i="1"/>
  <c r="AP98" i="1"/>
  <c r="AO102" i="1"/>
  <c r="AE102" i="1"/>
  <c r="AF102" i="1"/>
  <c r="AG102" i="1"/>
  <c r="AH102" i="1"/>
  <c r="AI102" i="1"/>
  <c r="AJ102" i="1"/>
  <c r="AK102" i="1"/>
  <c r="AL102" i="1"/>
  <c r="AM102" i="1"/>
  <c r="AN102" i="1"/>
  <c r="AD102" i="1"/>
  <c r="AP73" i="1"/>
  <c r="AG71" i="1"/>
  <c r="AM67" i="1"/>
  <c r="AE81" i="1"/>
  <c r="AE96" i="1" s="1"/>
  <c r="AD81" i="1"/>
  <c r="AE79" i="1"/>
  <c r="AE95" i="1" s="1"/>
  <c r="AJ79" i="1"/>
  <c r="AJ95" i="1" s="1"/>
  <c r="AD79" i="1"/>
  <c r="AJ77" i="1"/>
  <c r="AJ75" i="1"/>
  <c r="AM65" i="1"/>
  <c r="AG63" i="1"/>
  <c r="AM63" i="1"/>
  <c r="AP60" i="1"/>
  <c r="AP61" i="1"/>
  <c r="AF59" i="1"/>
  <c r="AG59" i="1" s="1"/>
  <c r="AH59" i="1" s="1"/>
  <c r="AI59" i="1" s="1"/>
  <c r="AJ59" i="1" s="1"/>
  <c r="AK59" i="1" s="1"/>
  <c r="AF47" i="1"/>
  <c r="AP51" i="1"/>
  <c r="AP54" i="1"/>
  <c r="AP56" i="1"/>
  <c r="AG48" i="1"/>
  <c r="AH48" i="1"/>
  <c r="AI48" i="1"/>
  <c r="AJ48" i="1"/>
  <c r="AK48" i="1"/>
  <c r="AL48" i="1"/>
  <c r="AM48" i="1"/>
  <c r="AN48" i="1"/>
  <c r="AO48" i="1"/>
  <c r="AF48" i="1"/>
  <c r="AG53" i="1"/>
  <c r="AH53" i="1"/>
  <c r="AI53" i="1"/>
  <c r="AJ53" i="1"/>
  <c r="AJ81" i="1" s="1"/>
  <c r="AJ96" i="1" s="1"/>
  <c r="AK53" i="1"/>
  <c r="AL53" i="1"/>
  <c r="AM53" i="1"/>
  <c r="AN53" i="1"/>
  <c r="AO53" i="1"/>
  <c r="AF53" i="1"/>
  <c r="AG50" i="1"/>
  <c r="AG79" i="1" s="1"/>
  <c r="AG95" i="1" s="1"/>
  <c r="AH50" i="1"/>
  <c r="AI50" i="1"/>
  <c r="AJ50" i="1"/>
  <c r="AK50" i="1"/>
  <c r="AL50" i="1"/>
  <c r="AM50" i="1"/>
  <c r="AM79" i="1" s="1"/>
  <c r="AM95" i="1" s="1"/>
  <c r="AN50" i="1"/>
  <c r="AO50" i="1"/>
  <c r="AF50" i="1"/>
  <c r="AP41" i="1"/>
  <c r="AP44" i="1"/>
  <c r="AE43" i="1"/>
  <c r="AF43" i="1"/>
  <c r="AG43" i="1"/>
  <c r="AH43" i="1"/>
  <c r="AI43" i="1"/>
  <c r="AJ43" i="1"/>
  <c r="AK43" i="1"/>
  <c r="AL43" i="1"/>
  <c r="AL77" i="1" s="1"/>
  <c r="AM43" i="1"/>
  <c r="AN43" i="1"/>
  <c r="AO43" i="1"/>
  <c r="AD43" i="1"/>
  <c r="AD77" i="1" s="1"/>
  <c r="AE40" i="1"/>
  <c r="AF40" i="1"/>
  <c r="AG40" i="1"/>
  <c r="AH40" i="1"/>
  <c r="AH37" i="1" s="1"/>
  <c r="AI40" i="1"/>
  <c r="AI37" i="1" s="1"/>
  <c r="AJ40" i="1"/>
  <c r="AJ37" i="1" s="1"/>
  <c r="AK40" i="1"/>
  <c r="AK37" i="1" s="1"/>
  <c r="AL40" i="1"/>
  <c r="AM40" i="1"/>
  <c r="AM37" i="1" s="1"/>
  <c r="AN40" i="1"/>
  <c r="AN37" i="1" s="1"/>
  <c r="AO40" i="1"/>
  <c r="AO37" i="1" s="1"/>
  <c r="AD40" i="1"/>
  <c r="AD75" i="1" s="1"/>
  <c r="AE38" i="1"/>
  <c r="AF38" i="1"/>
  <c r="AG38" i="1"/>
  <c r="AH38" i="1"/>
  <c r="AI38" i="1"/>
  <c r="AJ38" i="1"/>
  <c r="AK38" i="1"/>
  <c r="AL38" i="1"/>
  <c r="AM38" i="1"/>
  <c r="AN38" i="1"/>
  <c r="AO38" i="1"/>
  <c r="AD38" i="1"/>
  <c r="AP31" i="1"/>
  <c r="AP32" i="1"/>
  <c r="AP34" i="1"/>
  <c r="AP35" i="1"/>
  <c r="AE33" i="1"/>
  <c r="AF33" i="1"/>
  <c r="AG33" i="1"/>
  <c r="AH33" i="1"/>
  <c r="AI33" i="1"/>
  <c r="AJ33" i="1"/>
  <c r="AK33" i="1"/>
  <c r="AL33" i="1"/>
  <c r="AM33" i="1"/>
  <c r="AN33" i="1"/>
  <c r="AO33" i="1"/>
  <c r="AD33" i="1"/>
  <c r="AE30" i="1"/>
  <c r="AF30" i="1"/>
  <c r="AF29" i="1" s="1"/>
  <c r="AG30" i="1"/>
  <c r="AG29" i="1" s="1"/>
  <c r="AH30" i="1"/>
  <c r="AH29" i="1" s="1"/>
  <c r="AI30" i="1"/>
  <c r="AI29" i="1" s="1"/>
  <c r="AJ30" i="1"/>
  <c r="AK30" i="1"/>
  <c r="AK29" i="1" s="1"/>
  <c r="AL30" i="1"/>
  <c r="AL29" i="1" s="1"/>
  <c r="AM30" i="1"/>
  <c r="AM29" i="1" s="1"/>
  <c r="AN30" i="1"/>
  <c r="AN29" i="1" s="1"/>
  <c r="AO30" i="1"/>
  <c r="AO29" i="1" s="1"/>
  <c r="AD30" i="1"/>
  <c r="AP13" i="1"/>
  <c r="AP9" i="1" s="1"/>
  <c r="AP14" i="1"/>
  <c r="AP16" i="1"/>
  <c r="AP17" i="1"/>
  <c r="AP19" i="1"/>
  <c r="AP20" i="1"/>
  <c r="AP22" i="1"/>
  <c r="AP23" i="1"/>
  <c r="AF10" i="1"/>
  <c r="AE21" i="1"/>
  <c r="AF21" i="1"/>
  <c r="AG21" i="1"/>
  <c r="AH21" i="1"/>
  <c r="AI21" i="1"/>
  <c r="AJ21" i="1"/>
  <c r="AJ71" i="1" s="1"/>
  <c r="AJ91" i="1" s="1"/>
  <c r="AK21" i="1"/>
  <c r="AL21" i="1"/>
  <c r="AM21" i="1"/>
  <c r="AN21" i="1"/>
  <c r="AO21" i="1"/>
  <c r="AD21" i="1"/>
  <c r="AD71" i="1" s="1"/>
  <c r="AE18" i="1"/>
  <c r="AF18" i="1"/>
  <c r="AG18" i="1"/>
  <c r="AG67" i="1" s="1"/>
  <c r="AH18" i="1"/>
  <c r="AI18" i="1"/>
  <c r="AJ18" i="1"/>
  <c r="AJ67" i="1" s="1"/>
  <c r="AJ89" i="1" s="1"/>
  <c r="AK18" i="1"/>
  <c r="AL18" i="1"/>
  <c r="AM18" i="1"/>
  <c r="AN18" i="1"/>
  <c r="AO18" i="1"/>
  <c r="AD18" i="1"/>
  <c r="AD67" i="1" s="1"/>
  <c r="AE15" i="1"/>
  <c r="AF15" i="1"/>
  <c r="AG15" i="1"/>
  <c r="AG65" i="1" s="1"/>
  <c r="AH15" i="1"/>
  <c r="AI15" i="1"/>
  <c r="AJ15" i="1"/>
  <c r="AJ65" i="1" s="1"/>
  <c r="AJ88" i="1" s="1"/>
  <c r="AK15" i="1"/>
  <c r="AL15" i="1"/>
  <c r="AM15" i="1"/>
  <c r="AN15" i="1"/>
  <c r="AO15" i="1"/>
  <c r="AD15" i="1"/>
  <c r="AD65" i="1" s="1"/>
  <c r="AE12" i="1"/>
  <c r="AF12" i="1"/>
  <c r="AG12" i="1"/>
  <c r="AH12" i="1"/>
  <c r="AI12" i="1"/>
  <c r="AJ12" i="1"/>
  <c r="AJ63" i="1" s="1"/>
  <c r="AK12" i="1"/>
  <c r="AL12" i="1"/>
  <c r="AM12" i="1"/>
  <c r="AN12" i="1"/>
  <c r="AO12" i="1"/>
  <c r="AD12" i="1"/>
  <c r="AH6" i="1"/>
  <c r="AN6" i="1"/>
  <c r="I87" i="1"/>
  <c r="G88" i="1"/>
  <c r="N88" i="1"/>
  <c r="C89" i="1"/>
  <c r="D89" i="1"/>
  <c r="E89" i="1"/>
  <c r="F89" i="1"/>
  <c r="G89" i="1"/>
  <c r="H89" i="1"/>
  <c r="I89" i="1"/>
  <c r="J89" i="1"/>
  <c r="N89" i="1"/>
  <c r="C91" i="1"/>
  <c r="D91" i="1"/>
  <c r="E91" i="1"/>
  <c r="F91" i="1"/>
  <c r="G91" i="1"/>
  <c r="H91" i="1"/>
  <c r="I91" i="1"/>
  <c r="J91" i="1"/>
  <c r="N91" i="1"/>
  <c r="O91" i="1"/>
  <c r="P91" i="1"/>
  <c r="Q91" i="1"/>
  <c r="R91" i="1"/>
  <c r="C94" i="1"/>
  <c r="D94" i="1"/>
  <c r="E94" i="1"/>
  <c r="F94" i="1"/>
  <c r="G94" i="1"/>
  <c r="H94" i="1"/>
  <c r="I94" i="1"/>
  <c r="N95" i="1"/>
  <c r="O95" i="1"/>
  <c r="C96" i="1"/>
  <c r="E96" i="1"/>
  <c r="F96" i="1"/>
  <c r="G96" i="1"/>
  <c r="H96" i="1"/>
  <c r="I96" i="1"/>
  <c r="N96" i="1"/>
  <c r="O96" i="1"/>
  <c r="B96" i="1"/>
  <c r="B94" i="1"/>
  <c r="B91" i="1"/>
  <c r="B89" i="1"/>
  <c r="Z98" i="1"/>
  <c r="Z99" i="1"/>
  <c r="Z100" i="1"/>
  <c r="Z101" i="1"/>
  <c r="Z104" i="1"/>
  <c r="Z106" i="1"/>
  <c r="Z110" i="1"/>
  <c r="Z112" i="1"/>
  <c r="O102" i="1"/>
  <c r="P102" i="1"/>
  <c r="Q102" i="1"/>
  <c r="R102" i="1"/>
  <c r="S102" i="1"/>
  <c r="T102" i="1"/>
  <c r="U102" i="1"/>
  <c r="V102" i="1"/>
  <c r="W102" i="1"/>
  <c r="X102" i="1"/>
  <c r="Y102" i="1"/>
  <c r="N102" i="1"/>
  <c r="O67" i="1"/>
  <c r="O89" i="1" s="1"/>
  <c r="T71" i="1"/>
  <c r="T91" i="1" s="1"/>
  <c r="U71" i="1"/>
  <c r="U91" i="1" s="1"/>
  <c r="V71" i="1"/>
  <c r="V91" i="1" s="1"/>
  <c r="W71" i="1"/>
  <c r="X71" i="1"/>
  <c r="X91" i="1" s="1"/>
  <c r="Y71" i="1"/>
  <c r="Y91" i="1" s="1"/>
  <c r="S71" i="1"/>
  <c r="S91" i="1" s="1"/>
  <c r="P81" i="1"/>
  <c r="P96" i="1" s="1"/>
  <c r="O14" i="1"/>
  <c r="J99" i="1"/>
  <c r="J100" i="1"/>
  <c r="J101" i="1"/>
  <c r="J104" i="1"/>
  <c r="J106" i="1"/>
  <c r="J110" i="1"/>
  <c r="J111" i="1"/>
  <c r="J112" i="1"/>
  <c r="J113" i="1"/>
  <c r="J98" i="1"/>
  <c r="B65" i="1"/>
  <c r="B88" i="1" s="1"/>
  <c r="C75" i="1"/>
  <c r="C93" i="1" s="1"/>
  <c r="D75" i="1"/>
  <c r="D93" i="1" s="1"/>
  <c r="E75" i="1"/>
  <c r="E93" i="1" s="1"/>
  <c r="F75" i="1"/>
  <c r="F93" i="1" s="1"/>
  <c r="G75" i="1"/>
  <c r="G93" i="1" s="1"/>
  <c r="H75" i="1"/>
  <c r="H93" i="1" s="1"/>
  <c r="I75" i="1"/>
  <c r="I93" i="1" s="1"/>
  <c r="C79" i="1"/>
  <c r="C95" i="1" s="1"/>
  <c r="D79" i="1"/>
  <c r="D95" i="1" s="1"/>
  <c r="E79" i="1"/>
  <c r="E95" i="1" s="1"/>
  <c r="F79" i="1"/>
  <c r="F95" i="1" s="1"/>
  <c r="G79" i="1"/>
  <c r="G95" i="1" s="1"/>
  <c r="H79" i="1"/>
  <c r="H95" i="1" s="1"/>
  <c r="I79" i="1"/>
  <c r="I95" i="1" s="1"/>
  <c r="B79" i="1"/>
  <c r="B95" i="1" s="1"/>
  <c r="B75" i="1"/>
  <c r="B93" i="1" s="1"/>
  <c r="D81" i="1"/>
  <c r="J81" i="1" s="1"/>
  <c r="H82" i="1"/>
  <c r="F82" i="1"/>
  <c r="J77" i="1"/>
  <c r="D78" i="1"/>
  <c r="G78" i="1"/>
  <c r="C78" i="1"/>
  <c r="AP38" i="1" l="1"/>
  <c r="AK39" i="1"/>
  <c r="AF49" i="1"/>
  <c r="AJ94" i="1"/>
  <c r="AJ6" i="1"/>
  <c r="AE29" i="1"/>
  <c r="AD29" i="1"/>
  <c r="AD92" i="1" s="1"/>
  <c r="AJ92" i="1"/>
  <c r="AJ29" i="1"/>
  <c r="AL6" i="1"/>
  <c r="AF6" i="1"/>
  <c r="AM39" i="1"/>
  <c r="AI39" i="1"/>
  <c r="AM92" i="1"/>
  <c r="AL10" i="1"/>
  <c r="AO39" i="1"/>
  <c r="AK6" i="1"/>
  <c r="AE6" i="1"/>
  <c r="AP33" i="1"/>
  <c r="AN39" i="1"/>
  <c r="AH39" i="1"/>
  <c r="AJ10" i="1"/>
  <c r="AG37" i="1"/>
  <c r="AG39" i="1" s="1"/>
  <c r="AO6" i="1"/>
  <c r="AI6" i="1"/>
  <c r="AL94" i="1"/>
  <c r="AL75" i="1"/>
  <c r="AL93" i="1" s="1"/>
  <c r="AF77" i="1"/>
  <c r="AF94" i="1" s="1"/>
  <c r="AJ93" i="1"/>
  <c r="AP102" i="1"/>
  <c r="AM6" i="1"/>
  <c r="AG6" i="1"/>
  <c r="AM87" i="1"/>
  <c r="AG87" i="1"/>
  <c r="AM88" i="1"/>
  <c r="AG88" i="1"/>
  <c r="AM89" i="1"/>
  <c r="AG89" i="1"/>
  <c r="AG91" i="1"/>
  <c r="AD93" i="1"/>
  <c r="AJ39" i="1"/>
  <c r="AD94" i="1"/>
  <c r="AF75" i="1"/>
  <c r="AF93" i="1" s="1"/>
  <c r="AM71" i="1"/>
  <c r="AM91" i="1" s="1"/>
  <c r="AN10" i="1"/>
  <c r="AD91" i="1"/>
  <c r="AL63" i="1"/>
  <c r="AF63" i="1"/>
  <c r="AL65" i="1"/>
  <c r="AL88" i="1" s="1"/>
  <c r="AF65" i="1"/>
  <c r="AF88" i="1" s="1"/>
  <c r="AL67" i="1"/>
  <c r="AL89" i="1" s="1"/>
  <c r="AF67" i="1"/>
  <c r="AL71" i="1"/>
  <c r="AL91" i="1" s="1"/>
  <c r="AF71" i="1"/>
  <c r="AF91" i="1" s="1"/>
  <c r="AG92" i="1"/>
  <c r="AG74" i="1"/>
  <c r="AK75" i="1"/>
  <c r="AK93" i="1" s="1"/>
  <c r="AE75" i="1"/>
  <c r="AK77" i="1"/>
  <c r="AK94" i="1" s="1"/>
  <c r="AE77" i="1"/>
  <c r="AE94" i="1" s="1"/>
  <c r="AL92" i="1"/>
  <c r="AL74" i="1"/>
  <c r="AL79" i="1"/>
  <c r="AL95" i="1" s="1"/>
  <c r="AL47" i="1"/>
  <c r="AL49" i="1" s="1"/>
  <c r="AF81" i="1"/>
  <c r="AF96" i="1" s="1"/>
  <c r="AJ47" i="1"/>
  <c r="AJ49" i="1" s="1"/>
  <c r="AK63" i="1"/>
  <c r="AE63" i="1"/>
  <c r="AE87" i="1" s="1"/>
  <c r="AK65" i="1"/>
  <c r="AK88" i="1" s="1"/>
  <c r="AE65" i="1"/>
  <c r="AE88" i="1" s="1"/>
  <c r="AK67" i="1"/>
  <c r="AK89" i="1" s="1"/>
  <c r="AE67" i="1"/>
  <c r="AE89" i="1" s="1"/>
  <c r="AK71" i="1"/>
  <c r="AK91" i="1" s="1"/>
  <c r="AE71" i="1"/>
  <c r="AF92" i="1"/>
  <c r="AF74" i="1"/>
  <c r="AD96" i="1"/>
  <c r="AD6" i="1"/>
  <c r="AP12" i="1"/>
  <c r="AP15" i="1"/>
  <c r="AD88" i="1"/>
  <c r="AD89" i="1"/>
  <c r="AP18" i="1"/>
  <c r="AP21" i="1"/>
  <c r="AK92" i="1"/>
  <c r="AK74" i="1"/>
  <c r="AE92" i="1"/>
  <c r="AE74" i="1"/>
  <c r="AE37" i="1"/>
  <c r="AE39" i="1" s="1"/>
  <c r="AD63" i="1"/>
  <c r="AD95" i="1"/>
  <c r="AO63" i="1"/>
  <c r="AO87" i="1" s="1"/>
  <c r="AI63" i="1"/>
  <c r="AO65" i="1"/>
  <c r="AO88" i="1" s="1"/>
  <c r="AI65" i="1"/>
  <c r="AI88" i="1" s="1"/>
  <c r="AO67" i="1"/>
  <c r="AO89" i="1" s="1"/>
  <c r="AI67" i="1"/>
  <c r="AI89" i="1" s="1"/>
  <c r="AO71" i="1"/>
  <c r="AO91" i="1" s="1"/>
  <c r="AJ87" i="1"/>
  <c r="AH10" i="1"/>
  <c r="AO92" i="1"/>
  <c r="AO74" i="1"/>
  <c r="AI92" i="1"/>
  <c r="AI74" i="1"/>
  <c r="AN92" i="1"/>
  <c r="AN74" i="1"/>
  <c r="AH92" i="1"/>
  <c r="AH74" i="1"/>
  <c r="AJ74" i="1"/>
  <c r="AL37" i="1"/>
  <c r="AL39" i="1" s="1"/>
  <c r="AF37" i="1"/>
  <c r="AF39" i="1" s="1"/>
  <c r="AP40" i="1"/>
  <c r="AP50" i="1"/>
  <c r="AK47" i="1"/>
  <c r="AK49" i="1" s="1"/>
  <c r="AK79" i="1"/>
  <c r="AK95" i="1" s="1"/>
  <c r="AK81" i="1"/>
  <c r="AK96" i="1" s="1"/>
  <c r="AP30" i="1"/>
  <c r="AP29" i="1" s="1"/>
  <c r="AD37" i="1"/>
  <c r="AD39" i="1" s="1"/>
  <c r="AO47" i="1"/>
  <c r="AO49" i="1" s="1"/>
  <c r="AI47" i="1"/>
  <c r="AI49" i="1" s="1"/>
  <c r="AO75" i="1"/>
  <c r="AO93" i="1" s="1"/>
  <c r="AI75" i="1"/>
  <c r="AI93" i="1" s="1"/>
  <c r="AO77" i="1"/>
  <c r="AO94" i="1" s="1"/>
  <c r="AI77" i="1"/>
  <c r="AI94" i="1" s="1"/>
  <c r="AO79" i="1"/>
  <c r="AO95" i="1" s="1"/>
  <c r="AI79" i="1"/>
  <c r="AI95" i="1" s="1"/>
  <c r="AO81" i="1"/>
  <c r="AO96" i="1" s="1"/>
  <c r="AI81" i="1"/>
  <c r="AI96" i="1" s="1"/>
  <c r="AI71" i="1"/>
  <c r="AI91" i="1" s="1"/>
  <c r="AN47" i="1"/>
  <c r="AN49" i="1" s="1"/>
  <c r="AH47" i="1"/>
  <c r="AH49" i="1" s="1"/>
  <c r="AN63" i="1"/>
  <c r="AH63" i="1"/>
  <c r="AN65" i="1"/>
  <c r="AN88" i="1" s="1"/>
  <c r="AH65" i="1"/>
  <c r="AH88" i="1" s="1"/>
  <c r="AN75" i="1"/>
  <c r="AN93" i="1" s="1"/>
  <c r="AH75" i="1"/>
  <c r="AH93" i="1" s="1"/>
  <c r="AN77" i="1"/>
  <c r="AN94" i="1" s="1"/>
  <c r="AH77" i="1"/>
  <c r="AH94" i="1" s="1"/>
  <c r="AN79" i="1"/>
  <c r="AN95" i="1" s="1"/>
  <c r="AH79" i="1"/>
  <c r="AH95" i="1" s="1"/>
  <c r="AN81" i="1"/>
  <c r="AH81" i="1"/>
  <c r="AH96" i="1" s="1"/>
  <c r="AN67" i="1"/>
  <c r="AN89" i="1" s="1"/>
  <c r="AH67" i="1"/>
  <c r="AH89" i="1" s="1"/>
  <c r="AN71" i="1"/>
  <c r="AN91" i="1" s="1"/>
  <c r="AH71" i="1"/>
  <c r="AH91" i="1" s="1"/>
  <c r="AN87" i="1"/>
  <c r="AH87" i="1"/>
  <c r="AP43" i="1"/>
  <c r="AM47" i="1"/>
  <c r="AM49" i="1" s="1"/>
  <c r="AG47" i="1"/>
  <c r="AG49" i="1" s="1"/>
  <c r="AP59" i="1"/>
  <c r="AM75" i="1"/>
  <c r="AG75" i="1"/>
  <c r="AM77" i="1"/>
  <c r="AM94" i="1" s="1"/>
  <c r="AG77" i="1"/>
  <c r="AG94" i="1" s="1"/>
  <c r="AM81" i="1"/>
  <c r="AM96" i="1" s="1"/>
  <c r="AG81" i="1"/>
  <c r="AG96" i="1" s="1"/>
  <c r="AM93" i="1"/>
  <c r="AG93" i="1"/>
  <c r="AP53" i="1"/>
  <c r="AF79" i="1"/>
  <c r="AF95" i="1" s="1"/>
  <c r="AL81" i="1"/>
  <c r="AL96" i="1" s="1"/>
  <c r="AP48" i="1"/>
  <c r="Z71" i="1"/>
  <c r="Z102" i="1"/>
  <c r="D96" i="1"/>
  <c r="W91" i="1"/>
  <c r="J82" i="1"/>
  <c r="J75" i="1"/>
  <c r="I65" i="1"/>
  <c r="I88" i="1" s="1"/>
  <c r="F65" i="1"/>
  <c r="F88" i="1" s="1"/>
  <c r="E65" i="1"/>
  <c r="E88" i="1" s="1"/>
  <c r="C65" i="1"/>
  <c r="C88" i="1" s="1"/>
  <c r="D63" i="1"/>
  <c r="D87" i="1" s="1"/>
  <c r="E63" i="1"/>
  <c r="E87" i="1" s="1"/>
  <c r="F63" i="1"/>
  <c r="F87" i="1" s="1"/>
  <c r="G63" i="1"/>
  <c r="H63" i="1"/>
  <c r="H87" i="1" s="1"/>
  <c r="C63" i="1"/>
  <c r="C87" i="1" s="1"/>
  <c r="AP8" i="1" l="1"/>
  <c r="AP5" i="1" s="1"/>
  <c r="AD74" i="1"/>
  <c r="AP81" i="1"/>
  <c r="AP82" i="1" s="1"/>
  <c r="AJ58" i="1"/>
  <c r="AG83" i="1"/>
  <c r="AP71" i="1"/>
  <c r="AP72" i="1" s="1"/>
  <c r="AM83" i="1"/>
  <c r="AP74" i="1"/>
  <c r="AM74" i="1"/>
  <c r="AP67" i="1"/>
  <c r="AP68" i="1" s="1"/>
  <c r="AJ83" i="1"/>
  <c r="AP75" i="1"/>
  <c r="AP76" i="1" s="1"/>
  <c r="AP79" i="1"/>
  <c r="AP80" i="1" s="1"/>
  <c r="AP92" i="1"/>
  <c r="AP47" i="1"/>
  <c r="AP49" i="1" s="1"/>
  <c r="AP55" i="1"/>
  <c r="AL113" i="1"/>
  <c r="AL58" i="1"/>
  <c r="AI10" i="1"/>
  <c r="AP65" i="1"/>
  <c r="AP66" i="1" s="1"/>
  <c r="AP52" i="1"/>
  <c r="AP63" i="1"/>
  <c r="AP64" i="1" s="1"/>
  <c r="AD83" i="1"/>
  <c r="AP88" i="1"/>
  <c r="AE10" i="1"/>
  <c r="AJ113" i="1"/>
  <c r="AF89" i="1"/>
  <c r="AP42" i="1"/>
  <c r="AD87" i="1"/>
  <c r="AE91" i="1"/>
  <c r="AK83" i="1"/>
  <c r="AF83" i="1"/>
  <c r="AH83" i="1"/>
  <c r="AO10" i="1"/>
  <c r="AN96" i="1"/>
  <c r="AP87" i="1"/>
  <c r="AK87" i="1"/>
  <c r="AE93" i="1"/>
  <c r="AF87" i="1"/>
  <c r="AP45" i="1"/>
  <c r="AM10" i="1"/>
  <c r="AD10" i="1"/>
  <c r="AO83" i="1"/>
  <c r="AN83" i="1"/>
  <c r="AI83" i="1"/>
  <c r="AP69" i="1"/>
  <c r="AP70" i="1" s="1"/>
  <c r="AP89" i="1"/>
  <c r="AP6" i="1"/>
  <c r="AK10" i="1"/>
  <c r="AL83" i="1"/>
  <c r="AG10" i="1"/>
  <c r="AP77" i="1"/>
  <c r="AP78" i="1" s="1"/>
  <c r="AI87" i="1"/>
  <c r="AP37" i="1"/>
  <c r="AP39" i="1" s="1"/>
  <c r="AE83" i="1"/>
  <c r="AL87" i="1"/>
  <c r="G83" i="1"/>
  <c r="G87" i="1"/>
  <c r="Z61" i="1"/>
  <c r="Z60" i="1"/>
  <c r="Z59" i="1"/>
  <c r="Q48" i="1"/>
  <c r="R48" i="1"/>
  <c r="S48" i="1"/>
  <c r="T48" i="1"/>
  <c r="U48" i="1"/>
  <c r="V48" i="1"/>
  <c r="W48" i="1"/>
  <c r="X48" i="1"/>
  <c r="Y48" i="1"/>
  <c r="P48" i="1"/>
  <c r="Z54" i="1"/>
  <c r="R53" i="1"/>
  <c r="S53" i="1"/>
  <c r="T53" i="1"/>
  <c r="U53" i="1"/>
  <c r="V53" i="1"/>
  <c r="W53" i="1"/>
  <c r="X53" i="1"/>
  <c r="Y53" i="1"/>
  <c r="Q53" i="1"/>
  <c r="N47" i="1"/>
  <c r="N12" i="1"/>
  <c r="N30" i="1"/>
  <c r="N29" i="1" s="1"/>
  <c r="N40" i="1"/>
  <c r="N43" i="1"/>
  <c r="Z51" i="1"/>
  <c r="Q50" i="1"/>
  <c r="R50" i="1"/>
  <c r="S50" i="1"/>
  <c r="T50" i="1"/>
  <c r="U50" i="1"/>
  <c r="V50" i="1"/>
  <c r="W50" i="1"/>
  <c r="X50" i="1"/>
  <c r="Y50" i="1"/>
  <c r="P50" i="1"/>
  <c r="Z44" i="1"/>
  <c r="O6" i="1"/>
  <c r="P38" i="1"/>
  <c r="P6" i="1" s="1"/>
  <c r="Q38" i="1"/>
  <c r="Q6" i="1" s="1"/>
  <c r="R38" i="1"/>
  <c r="R6" i="1" s="1"/>
  <c r="S38" i="1"/>
  <c r="T38" i="1"/>
  <c r="U38" i="1"/>
  <c r="V38" i="1"/>
  <c r="V6" i="1" s="1"/>
  <c r="W38" i="1"/>
  <c r="W6" i="1" s="1"/>
  <c r="X38" i="1"/>
  <c r="X6" i="1" s="1"/>
  <c r="Y38" i="1"/>
  <c r="O43" i="1"/>
  <c r="P43" i="1"/>
  <c r="Q43" i="1"/>
  <c r="R43" i="1"/>
  <c r="S43" i="1"/>
  <c r="T43" i="1"/>
  <c r="U43" i="1"/>
  <c r="V43" i="1"/>
  <c r="W43" i="1"/>
  <c r="X43" i="1"/>
  <c r="Y43" i="1"/>
  <c r="O40" i="1"/>
  <c r="P40" i="1"/>
  <c r="Q40" i="1"/>
  <c r="R40" i="1"/>
  <c r="S40" i="1"/>
  <c r="T40" i="1"/>
  <c r="U40" i="1"/>
  <c r="V40" i="1"/>
  <c r="W40" i="1"/>
  <c r="X40" i="1"/>
  <c r="Y40" i="1"/>
  <c r="Z34" i="1"/>
  <c r="T33" i="1"/>
  <c r="U33" i="1"/>
  <c r="V33" i="1"/>
  <c r="W33" i="1"/>
  <c r="X33" i="1"/>
  <c r="Y33" i="1"/>
  <c r="S33" i="1"/>
  <c r="U6" i="1" l="1"/>
  <c r="T6" i="1"/>
  <c r="Y6" i="1"/>
  <c r="S6" i="1"/>
  <c r="AP96" i="1"/>
  <c r="AP95" i="1"/>
  <c r="AP93" i="1"/>
  <c r="AJ86" i="1"/>
  <c r="AJ105" i="1" s="1"/>
  <c r="AJ107" i="1" s="1"/>
  <c r="AJ109" i="1" s="1"/>
  <c r="AJ84" i="1"/>
  <c r="AP91" i="1"/>
  <c r="AL84" i="1"/>
  <c r="AD113" i="1"/>
  <c r="AD58" i="1"/>
  <c r="AD86" i="1" s="1"/>
  <c r="AE113" i="1"/>
  <c r="AE58" i="1"/>
  <c r="AE86" i="1" s="1"/>
  <c r="AK113" i="1"/>
  <c r="AK58" i="1"/>
  <c r="AK86" i="1" s="1"/>
  <c r="AH58" i="1"/>
  <c r="AH86" i="1" s="1"/>
  <c r="AH113" i="1"/>
  <c r="AM58" i="1"/>
  <c r="AM113" i="1"/>
  <c r="AP94" i="1"/>
  <c r="AP83" i="1"/>
  <c r="AL86" i="1"/>
  <c r="AF113" i="1"/>
  <c r="AF58" i="1"/>
  <c r="AF86" i="1" s="1"/>
  <c r="AI58" i="1"/>
  <c r="AI86" i="1" s="1"/>
  <c r="AI113" i="1"/>
  <c r="AG58" i="1"/>
  <c r="AG113" i="1"/>
  <c r="AP10" i="1"/>
  <c r="AP58" i="1"/>
  <c r="AO58" i="1"/>
  <c r="AO86" i="1" s="1"/>
  <c r="AO113" i="1"/>
  <c r="AN58" i="1"/>
  <c r="AN86" i="1" s="1"/>
  <c r="AN113" i="1"/>
  <c r="V93" i="1"/>
  <c r="V76" i="1"/>
  <c r="U77" i="1"/>
  <c r="U94" i="1" s="1"/>
  <c r="N77" i="1"/>
  <c r="U81" i="1"/>
  <c r="U96" i="1" s="1"/>
  <c r="T76" i="1"/>
  <c r="T93" i="1"/>
  <c r="Y77" i="1"/>
  <c r="Y94" i="1" s="1"/>
  <c r="S77" i="1"/>
  <c r="S94" i="1" s="1"/>
  <c r="Y47" i="1"/>
  <c r="Y49" i="1" s="1"/>
  <c r="Y79" i="1"/>
  <c r="Y95" i="1" s="1"/>
  <c r="S47" i="1"/>
  <c r="S49" i="1" s="1"/>
  <c r="S79" i="1"/>
  <c r="S95" i="1" s="1"/>
  <c r="Y81" i="1"/>
  <c r="Y96" i="1" s="1"/>
  <c r="S81" i="1"/>
  <c r="S96" i="1" s="1"/>
  <c r="S93" i="1"/>
  <c r="S76" i="1"/>
  <c r="X77" i="1"/>
  <c r="X94" i="1" s="1"/>
  <c r="X79" i="1"/>
  <c r="X95" i="1" s="1"/>
  <c r="R79" i="1"/>
  <c r="R95" i="1" s="1"/>
  <c r="X81" i="1"/>
  <c r="X96" i="1" s="1"/>
  <c r="X93" i="1"/>
  <c r="X76" i="1"/>
  <c r="R93" i="1"/>
  <c r="R76" i="1"/>
  <c r="Q77" i="1"/>
  <c r="Q94" i="1" s="1"/>
  <c r="W47" i="1"/>
  <c r="W49" i="1" s="1"/>
  <c r="W79" i="1"/>
  <c r="W95" i="1" s="1"/>
  <c r="Q79" i="1"/>
  <c r="Q95" i="1" s="1"/>
  <c r="N10" i="1"/>
  <c r="N63" i="1"/>
  <c r="W81" i="1"/>
  <c r="W96" i="1" s="1"/>
  <c r="R77" i="1"/>
  <c r="R94" i="1" s="1"/>
  <c r="N73" i="1"/>
  <c r="N92" i="1" s="1"/>
  <c r="R81" i="1"/>
  <c r="R96" i="1" s="1"/>
  <c r="W77" i="1"/>
  <c r="W94" i="1" s="1"/>
  <c r="W76" i="1"/>
  <c r="W93" i="1"/>
  <c r="Q93" i="1"/>
  <c r="Q76" i="1"/>
  <c r="V77" i="1"/>
  <c r="V94" i="1" s="1"/>
  <c r="P77" i="1"/>
  <c r="P94" i="1" s="1"/>
  <c r="V79" i="1"/>
  <c r="V95" i="1" s="1"/>
  <c r="V81" i="1"/>
  <c r="V96" i="1" s="1"/>
  <c r="Y76" i="1"/>
  <c r="Y93" i="1"/>
  <c r="P75" i="1"/>
  <c r="P93" i="1" s="1"/>
  <c r="O77" i="1"/>
  <c r="O94" i="1" s="1"/>
  <c r="U47" i="1"/>
  <c r="U49" i="1" s="1"/>
  <c r="U79" i="1"/>
  <c r="U95" i="1" s="1"/>
  <c r="U76" i="1"/>
  <c r="U93" i="1"/>
  <c r="O75" i="1"/>
  <c r="O93" i="1" s="1"/>
  <c r="T77" i="1"/>
  <c r="T94" i="1" s="1"/>
  <c r="P47" i="1"/>
  <c r="P49" i="1" s="1"/>
  <c r="P79" i="1"/>
  <c r="P95" i="1" s="1"/>
  <c r="T47" i="1"/>
  <c r="T49" i="1" s="1"/>
  <c r="T79" i="1"/>
  <c r="T95" i="1" s="1"/>
  <c r="N75" i="1"/>
  <c r="Q81" i="1"/>
  <c r="T81" i="1"/>
  <c r="T96" i="1" s="1"/>
  <c r="X37" i="1"/>
  <c r="X39" i="1" s="1"/>
  <c r="R37" i="1"/>
  <c r="R39" i="1" s="1"/>
  <c r="T37" i="1"/>
  <c r="T39" i="1" s="1"/>
  <c r="Z48" i="1"/>
  <c r="W37" i="1"/>
  <c r="W39" i="1" s="1"/>
  <c r="Q37" i="1"/>
  <c r="Q39" i="1" s="1"/>
  <c r="Q47" i="1"/>
  <c r="Q49" i="1" s="1"/>
  <c r="Z53" i="1"/>
  <c r="V47" i="1"/>
  <c r="V49" i="1" s="1"/>
  <c r="P37" i="1"/>
  <c r="Z33" i="1"/>
  <c r="Z35" i="1" s="1"/>
  <c r="U37" i="1"/>
  <c r="U39" i="1" s="1"/>
  <c r="S37" i="1"/>
  <c r="S39" i="1" s="1"/>
  <c r="X47" i="1"/>
  <c r="X49" i="1" s="1"/>
  <c r="R47" i="1"/>
  <c r="R49" i="1" s="1"/>
  <c r="V37" i="1"/>
  <c r="V39" i="1" s="1"/>
  <c r="O37" i="1"/>
  <c r="N37" i="1"/>
  <c r="Y37" i="1"/>
  <c r="Y39" i="1" s="1"/>
  <c r="N6" i="1"/>
  <c r="Z50" i="1"/>
  <c r="Z41" i="1"/>
  <c r="Z40" i="1"/>
  <c r="Z43" i="1"/>
  <c r="Q30" i="1"/>
  <c r="Q29" i="1" s="1"/>
  <c r="R30" i="1"/>
  <c r="R29" i="1" s="1"/>
  <c r="S30" i="1"/>
  <c r="S29" i="1" s="1"/>
  <c r="T30" i="1"/>
  <c r="T29" i="1" s="1"/>
  <c r="U30" i="1"/>
  <c r="U29" i="1" s="1"/>
  <c r="V30" i="1"/>
  <c r="V29" i="1" s="1"/>
  <c r="W30" i="1"/>
  <c r="W29" i="1" s="1"/>
  <c r="X30" i="1"/>
  <c r="X29" i="1" s="1"/>
  <c r="Y30" i="1"/>
  <c r="Y29" i="1" s="1"/>
  <c r="T23" i="1"/>
  <c r="U23" i="1"/>
  <c r="V23" i="1"/>
  <c r="W23" i="1"/>
  <c r="X23" i="1"/>
  <c r="Y23" i="1"/>
  <c r="S23" i="1"/>
  <c r="S15" i="1"/>
  <c r="R17" i="1"/>
  <c r="R15" i="1" s="1"/>
  <c r="P15" i="1"/>
  <c r="Q15" i="1"/>
  <c r="T15" i="1"/>
  <c r="U15" i="1"/>
  <c r="V15" i="1"/>
  <c r="W15" i="1"/>
  <c r="X15" i="1"/>
  <c r="Y15" i="1"/>
  <c r="O15" i="1"/>
  <c r="X12" i="1"/>
  <c r="W12" i="1"/>
  <c r="V13" i="1"/>
  <c r="V12" i="1" s="1"/>
  <c r="U13" i="1"/>
  <c r="P13" i="1"/>
  <c r="O12" i="1"/>
  <c r="O8" i="1" s="1"/>
  <c r="P14" i="1"/>
  <c r="Q14" i="1" s="1"/>
  <c r="P18" i="1"/>
  <c r="P39" i="1" l="1"/>
  <c r="O39" i="1"/>
  <c r="N5" i="1"/>
  <c r="N39" i="1"/>
  <c r="AD84" i="1"/>
  <c r="AQ92" i="1"/>
  <c r="AQ91" i="1"/>
  <c r="AQ88" i="1"/>
  <c r="AQ87" i="1"/>
  <c r="AQ89" i="1"/>
  <c r="AQ95" i="1"/>
  <c r="AQ94" i="1"/>
  <c r="AQ90" i="1"/>
  <c r="AQ93" i="1"/>
  <c r="AQ96" i="1"/>
  <c r="AK84" i="1"/>
  <c r="AH84" i="1"/>
  <c r="AF105" i="1"/>
  <c r="AF107" i="1" s="1"/>
  <c r="AF109" i="1" s="1"/>
  <c r="AP86" i="1"/>
  <c r="AP84" i="1"/>
  <c r="AG86" i="1"/>
  <c r="AG84" i="1"/>
  <c r="AF84" i="1"/>
  <c r="AD105" i="1"/>
  <c r="AE84" i="1"/>
  <c r="AN84" i="1"/>
  <c r="AH105" i="1"/>
  <c r="AH107" i="1" s="1"/>
  <c r="AH109" i="1" s="1"/>
  <c r="AP113" i="1"/>
  <c r="AO105" i="1"/>
  <c r="AO107" i="1" s="1"/>
  <c r="AO109" i="1" s="1"/>
  <c r="AL105" i="1"/>
  <c r="AL107" i="1" s="1"/>
  <c r="AL109" i="1" s="1"/>
  <c r="AO84" i="1"/>
  <c r="AK105" i="1"/>
  <c r="AK107" i="1" s="1"/>
  <c r="AK109" i="1" s="1"/>
  <c r="AI105" i="1"/>
  <c r="AI107" i="1" s="1"/>
  <c r="AI109" i="1" s="1"/>
  <c r="AI84" i="1"/>
  <c r="AN105" i="1"/>
  <c r="AN107" i="1" s="1"/>
  <c r="AN109" i="1" s="1"/>
  <c r="AE105" i="1"/>
  <c r="AE107" i="1" s="1"/>
  <c r="AE109" i="1" s="1"/>
  <c r="AM86" i="1"/>
  <c r="AM84" i="1"/>
  <c r="Z75" i="1"/>
  <c r="Z76" i="1" s="1"/>
  <c r="Z81" i="1"/>
  <c r="Z82" i="1" s="1"/>
  <c r="O65" i="1"/>
  <c r="O88" i="1" s="1"/>
  <c r="N83" i="1"/>
  <c r="Z77" i="1"/>
  <c r="Z78" i="1" s="1"/>
  <c r="Q96" i="1"/>
  <c r="N87" i="1"/>
  <c r="N94" i="1"/>
  <c r="Z55" i="1"/>
  <c r="Z79" i="1"/>
  <c r="Z80" i="1" s="1"/>
  <c r="Z45" i="1"/>
  <c r="Z94" i="1"/>
  <c r="N93" i="1"/>
  <c r="P67" i="1"/>
  <c r="P89" i="1" s="1"/>
  <c r="Y65" i="1"/>
  <c r="Y88" i="1" s="1"/>
  <c r="W65" i="1"/>
  <c r="W88" i="1" s="1"/>
  <c r="O63" i="1"/>
  <c r="O87" i="1" s="1"/>
  <c r="T65" i="1"/>
  <c r="T88" i="1" s="1"/>
  <c r="X65" i="1"/>
  <c r="X88" i="1" s="1"/>
  <c r="Y74" i="1"/>
  <c r="Y92" i="1"/>
  <c r="V63" i="1"/>
  <c r="W63" i="1"/>
  <c r="W87" i="1" s="1"/>
  <c r="Q92" i="1"/>
  <c r="Q65" i="1"/>
  <c r="Q88" i="1" s="1"/>
  <c r="P65" i="1"/>
  <c r="R65" i="1"/>
  <c r="R88" i="1" s="1"/>
  <c r="X74" i="1"/>
  <c r="X92" i="1"/>
  <c r="V65" i="1"/>
  <c r="V88" i="1" s="1"/>
  <c r="S65" i="1"/>
  <c r="S88" i="1" s="1"/>
  <c r="X63" i="1"/>
  <c r="U65" i="1"/>
  <c r="U88" i="1" s="1"/>
  <c r="Z42" i="1"/>
  <c r="P12" i="1"/>
  <c r="P8" i="1" s="1"/>
  <c r="Q12" i="1"/>
  <c r="R14" i="1"/>
  <c r="Z52" i="1"/>
  <c r="Z47" i="1"/>
  <c r="Z49" i="1" s="1"/>
  <c r="Z38" i="1"/>
  <c r="Z37" i="1"/>
  <c r="O10" i="1"/>
  <c r="Q20" i="1"/>
  <c r="R20" i="1" s="1"/>
  <c r="C47" i="1"/>
  <c r="D47" i="1"/>
  <c r="E47" i="1"/>
  <c r="F47" i="1"/>
  <c r="G47" i="1"/>
  <c r="H47" i="1"/>
  <c r="I47" i="1"/>
  <c r="B47" i="1"/>
  <c r="C48" i="1"/>
  <c r="D48" i="1"/>
  <c r="E48" i="1"/>
  <c r="F48" i="1"/>
  <c r="G48" i="1"/>
  <c r="H48" i="1"/>
  <c r="I48" i="1"/>
  <c r="B48" i="1"/>
  <c r="J61" i="1"/>
  <c r="J53" i="1"/>
  <c r="J96" i="1" s="1"/>
  <c r="J54" i="1"/>
  <c r="H55" i="1"/>
  <c r="F55" i="1"/>
  <c r="D55" i="1"/>
  <c r="AD107" i="1" l="1"/>
  <c r="Z93" i="1"/>
  <c r="AM105" i="1"/>
  <c r="AM107" i="1" s="1"/>
  <c r="AM109" i="1" s="1"/>
  <c r="AG105" i="1"/>
  <c r="AG107" i="1" s="1"/>
  <c r="AG109" i="1" s="1"/>
  <c r="Z96" i="1"/>
  <c r="N58" i="1"/>
  <c r="N86" i="1"/>
  <c r="N113" i="1"/>
  <c r="P10" i="1"/>
  <c r="Z95" i="1"/>
  <c r="Z65" i="1"/>
  <c r="N84" i="1"/>
  <c r="V87" i="1"/>
  <c r="P63" i="1"/>
  <c r="Q63" i="1"/>
  <c r="Q87" i="1" s="1"/>
  <c r="X87" i="1"/>
  <c r="P88" i="1"/>
  <c r="C49" i="1"/>
  <c r="H49" i="1"/>
  <c r="J55" i="1"/>
  <c r="G49" i="1"/>
  <c r="R12" i="1"/>
  <c r="S14" i="1"/>
  <c r="B49" i="1"/>
  <c r="D49" i="1"/>
  <c r="Z39" i="1"/>
  <c r="O32" i="1"/>
  <c r="Z31" i="1"/>
  <c r="I49" i="1"/>
  <c r="E49" i="1"/>
  <c r="F49" i="1"/>
  <c r="Q18" i="1"/>
  <c r="Q8" i="1" s="1"/>
  <c r="C38" i="1"/>
  <c r="C6" i="1" s="1"/>
  <c r="D38" i="1"/>
  <c r="D6" i="1" s="1"/>
  <c r="E38" i="1"/>
  <c r="E6" i="1" s="1"/>
  <c r="F38" i="1"/>
  <c r="F6" i="1" s="1"/>
  <c r="G38" i="1"/>
  <c r="G6" i="1" s="1"/>
  <c r="H38" i="1"/>
  <c r="H6" i="1" s="1"/>
  <c r="I38" i="1"/>
  <c r="I6" i="1" s="1"/>
  <c r="B38" i="1"/>
  <c r="B6" i="1" s="1"/>
  <c r="J44" i="1"/>
  <c r="G45" i="1"/>
  <c r="D45" i="1"/>
  <c r="C45" i="1"/>
  <c r="AP107" i="1" l="1"/>
  <c r="AP109" i="1" s="1"/>
  <c r="AD109" i="1"/>
  <c r="AP105" i="1"/>
  <c r="N105" i="1"/>
  <c r="N107" i="1" s="1"/>
  <c r="N109" i="1" s="1"/>
  <c r="N114" i="1" s="1"/>
  <c r="R63" i="1"/>
  <c r="R87" i="1" s="1"/>
  <c r="Q67" i="1"/>
  <c r="Q89" i="1" s="1"/>
  <c r="P87" i="1"/>
  <c r="T14" i="1"/>
  <c r="S12" i="1"/>
  <c r="Z22" i="1"/>
  <c r="O30" i="1"/>
  <c r="O29" i="1" s="1"/>
  <c r="P32" i="1"/>
  <c r="P30" i="1" s="1"/>
  <c r="P29" i="1" s="1"/>
  <c r="Q10" i="1"/>
  <c r="S20" i="1"/>
  <c r="T20" i="1" s="1"/>
  <c r="R18" i="1"/>
  <c r="R8" i="1" s="1"/>
  <c r="J43" i="1"/>
  <c r="J94" i="1" s="1"/>
  <c r="AD111" i="1" l="1"/>
  <c r="AD114" i="1" s="1"/>
  <c r="S63" i="1"/>
  <c r="S87" i="1" s="1"/>
  <c r="P73" i="1"/>
  <c r="R10" i="1"/>
  <c r="R67" i="1"/>
  <c r="R89" i="1" s="1"/>
  <c r="O73" i="1"/>
  <c r="J45" i="1"/>
  <c r="J78" i="1"/>
  <c r="U14" i="1"/>
  <c r="T12" i="1"/>
  <c r="Z19" i="1"/>
  <c r="Z30" i="1"/>
  <c r="Z29" i="1" s="1"/>
  <c r="Z21" i="1"/>
  <c r="Z91" i="1" s="1"/>
  <c r="S18" i="1"/>
  <c r="S8" i="1" s="1"/>
  <c r="C37" i="1"/>
  <c r="C39" i="1" s="1"/>
  <c r="D37" i="1"/>
  <c r="D39" i="1" s="1"/>
  <c r="E37" i="1"/>
  <c r="E39" i="1" s="1"/>
  <c r="F37" i="1"/>
  <c r="F39" i="1" s="1"/>
  <c r="G37" i="1"/>
  <c r="G39" i="1" s="1"/>
  <c r="H37" i="1"/>
  <c r="H39" i="1" s="1"/>
  <c r="I37" i="1"/>
  <c r="I39" i="1" s="1"/>
  <c r="B37" i="1"/>
  <c r="B39" i="1" s="1"/>
  <c r="G92" i="1"/>
  <c r="C8" i="1"/>
  <c r="E8" i="1"/>
  <c r="F8" i="1"/>
  <c r="G8" i="1"/>
  <c r="H8" i="1"/>
  <c r="I8" i="1"/>
  <c r="B8" i="1"/>
  <c r="B63" i="1"/>
  <c r="B73" i="1"/>
  <c r="B92" i="1" s="1"/>
  <c r="AE111" i="1" l="1"/>
  <c r="B5" i="1"/>
  <c r="H5" i="1"/>
  <c r="H58" i="1" s="1"/>
  <c r="B64" i="1"/>
  <c r="B87" i="1"/>
  <c r="J63" i="1"/>
  <c r="E73" i="1"/>
  <c r="E83" i="1" s="1"/>
  <c r="D73" i="1"/>
  <c r="D92" i="1"/>
  <c r="I73" i="1"/>
  <c r="I83" i="1" s="1"/>
  <c r="I92" i="1"/>
  <c r="H73" i="1"/>
  <c r="H92" i="1" s="1"/>
  <c r="F73" i="1"/>
  <c r="F83" i="1" s="1"/>
  <c r="F92" i="1"/>
  <c r="S67" i="1"/>
  <c r="O92" i="1"/>
  <c r="P92" i="1"/>
  <c r="T63" i="1"/>
  <c r="Z23" i="1"/>
  <c r="Z72" i="1"/>
  <c r="I5" i="1"/>
  <c r="I58" i="1" s="1"/>
  <c r="F5" i="1"/>
  <c r="F86" i="1" s="1"/>
  <c r="F105" i="1" s="1"/>
  <c r="F107" i="1" s="1"/>
  <c r="G5" i="1"/>
  <c r="G84" i="1" s="1"/>
  <c r="B83" i="1"/>
  <c r="Y14" i="1"/>
  <c r="Y12" i="1" s="1"/>
  <c r="U12" i="1"/>
  <c r="Z15" i="1"/>
  <c r="S10" i="1"/>
  <c r="U20" i="1"/>
  <c r="V20" i="1" s="1"/>
  <c r="T18" i="1"/>
  <c r="T8" i="1" s="1"/>
  <c r="E5" i="1"/>
  <c r="B84" i="1" l="1"/>
  <c r="AE114" i="1"/>
  <c r="AF111" i="1"/>
  <c r="I84" i="1"/>
  <c r="E92" i="1"/>
  <c r="I86" i="1"/>
  <c r="I105" i="1" s="1"/>
  <c r="I107" i="1" s="1"/>
  <c r="E84" i="1"/>
  <c r="Y63" i="1"/>
  <c r="Y87" i="1" s="1"/>
  <c r="Z66" i="1"/>
  <c r="Z88" i="1"/>
  <c r="S89" i="1"/>
  <c r="T67" i="1"/>
  <c r="T89" i="1" s="1"/>
  <c r="U63" i="1"/>
  <c r="T87" i="1"/>
  <c r="G58" i="1"/>
  <c r="F58" i="1"/>
  <c r="F84" i="1"/>
  <c r="G86" i="1"/>
  <c r="G105" i="1" s="1"/>
  <c r="G107" i="1" s="1"/>
  <c r="B86" i="1"/>
  <c r="B105" i="1" s="1"/>
  <c r="E58" i="1"/>
  <c r="E86" i="1"/>
  <c r="Z13" i="1"/>
  <c r="Z16" i="1"/>
  <c r="T10" i="1"/>
  <c r="U18" i="1"/>
  <c r="U8" i="1" s="1"/>
  <c r="I102" i="1"/>
  <c r="I17" i="1"/>
  <c r="J16" i="1"/>
  <c r="B14" i="1"/>
  <c r="B17" i="1"/>
  <c r="C14" i="1"/>
  <c r="C17" i="1"/>
  <c r="Z17" i="1" l="1"/>
  <c r="Z9" i="1"/>
  <c r="Z6" i="1" s="1"/>
  <c r="I109" i="1"/>
  <c r="I114" i="1" s="1"/>
  <c r="AG111" i="1"/>
  <c r="AF114" i="1"/>
  <c r="U87" i="1"/>
  <c r="Z63" i="1"/>
  <c r="U67" i="1"/>
  <c r="U89" i="1" s="1"/>
  <c r="B107" i="1"/>
  <c r="E105" i="1"/>
  <c r="E107" i="1" s="1"/>
  <c r="Z12" i="1"/>
  <c r="U10" i="1"/>
  <c r="W20" i="1"/>
  <c r="X20" i="1" s="1"/>
  <c r="V18" i="1"/>
  <c r="V8" i="1" s="1"/>
  <c r="D14" i="1"/>
  <c r="D15" i="1"/>
  <c r="E14" i="1"/>
  <c r="E17" i="1"/>
  <c r="F13" i="1"/>
  <c r="F17" i="1"/>
  <c r="G13" i="1"/>
  <c r="G17" i="1"/>
  <c r="J59" i="1"/>
  <c r="AH111" i="1" l="1"/>
  <c r="AG114" i="1"/>
  <c r="D65" i="1"/>
  <c r="D88" i="1" s="1"/>
  <c r="Z64" i="1"/>
  <c r="Z14" i="1"/>
  <c r="Z87" i="1"/>
  <c r="V67" i="1"/>
  <c r="D8" i="1"/>
  <c r="V10" i="1"/>
  <c r="W18" i="1"/>
  <c r="W8" i="1" s="1"/>
  <c r="J15" i="1"/>
  <c r="J17" i="1" s="1"/>
  <c r="D17" i="1"/>
  <c r="AI111" i="1" l="1"/>
  <c r="AH114" i="1"/>
  <c r="D83" i="1"/>
  <c r="W67" i="1"/>
  <c r="V89" i="1"/>
  <c r="W10" i="1"/>
  <c r="D5" i="1"/>
  <c r="Y20" i="1"/>
  <c r="Y18" i="1" s="1"/>
  <c r="Y8" i="1" s="1"/>
  <c r="X18" i="1"/>
  <c r="X8" i="1" s="1"/>
  <c r="I52" i="1"/>
  <c r="J51" i="1"/>
  <c r="J48" i="1" s="1"/>
  <c r="J50" i="1"/>
  <c r="I42" i="1"/>
  <c r="J41" i="1"/>
  <c r="J38" i="1" s="1"/>
  <c r="J40" i="1"/>
  <c r="I32" i="1"/>
  <c r="J31" i="1"/>
  <c r="J9" i="1"/>
  <c r="H13" i="1"/>
  <c r="J13" i="1" s="1"/>
  <c r="H17" i="1"/>
  <c r="H65" i="1" s="1"/>
  <c r="H88" i="1" s="1"/>
  <c r="AJ111" i="1" l="1"/>
  <c r="AI114" i="1"/>
  <c r="J76" i="1"/>
  <c r="J93" i="1"/>
  <c r="Y67" i="1"/>
  <c r="W89" i="1"/>
  <c r="X67" i="1"/>
  <c r="D58" i="1"/>
  <c r="D86" i="1"/>
  <c r="D84" i="1"/>
  <c r="H83" i="1"/>
  <c r="J65" i="1"/>
  <c r="J6" i="1"/>
  <c r="X10" i="1"/>
  <c r="Y10" i="1"/>
  <c r="Z18" i="1"/>
  <c r="Z8" i="1" s="1"/>
  <c r="J47" i="1"/>
  <c r="J52" i="1"/>
  <c r="J37" i="1"/>
  <c r="J39" i="1" s="1"/>
  <c r="J42" i="1"/>
  <c r="AK111" i="1" l="1"/>
  <c r="AJ114" i="1"/>
  <c r="X89" i="1"/>
  <c r="J88" i="1"/>
  <c r="J66" i="1"/>
  <c r="Z67" i="1"/>
  <c r="Z68" i="1" s="1"/>
  <c r="Y89" i="1"/>
  <c r="H84" i="1"/>
  <c r="H86" i="1"/>
  <c r="D105" i="1"/>
  <c r="D107" i="1" s="1"/>
  <c r="J49" i="1"/>
  <c r="Z20" i="1"/>
  <c r="C102" i="1"/>
  <c r="D102" i="1"/>
  <c r="E102" i="1"/>
  <c r="E109" i="1" s="1"/>
  <c r="E114" i="1" s="1"/>
  <c r="F102" i="1"/>
  <c r="F109" i="1" s="1"/>
  <c r="F114" i="1" s="1"/>
  <c r="G102" i="1"/>
  <c r="G109" i="1" s="1"/>
  <c r="G114" i="1" s="1"/>
  <c r="H102" i="1"/>
  <c r="B102" i="1"/>
  <c r="AL111" i="1" l="1"/>
  <c r="AK114" i="1"/>
  <c r="Z89" i="1"/>
  <c r="D109" i="1"/>
  <c r="D114" i="1" s="1"/>
  <c r="B109" i="1"/>
  <c r="B114" i="1" s="1"/>
  <c r="J102" i="1"/>
  <c r="H105" i="1"/>
  <c r="H107" i="1" s="1"/>
  <c r="H109" i="1" s="1"/>
  <c r="H114" i="1" s="1"/>
  <c r="H52" i="1"/>
  <c r="G52" i="1"/>
  <c r="F52" i="1"/>
  <c r="E52" i="1"/>
  <c r="D52" i="1"/>
  <c r="C52" i="1"/>
  <c r="B52" i="1"/>
  <c r="H42" i="1"/>
  <c r="G42" i="1"/>
  <c r="F42" i="1"/>
  <c r="E42" i="1"/>
  <c r="D42" i="1"/>
  <c r="C42" i="1"/>
  <c r="B42" i="1"/>
  <c r="H32" i="1"/>
  <c r="G32" i="1"/>
  <c r="F32" i="1"/>
  <c r="E32" i="1"/>
  <c r="D32" i="1"/>
  <c r="B32" i="1"/>
  <c r="C30" i="1"/>
  <c r="C29" i="1" s="1"/>
  <c r="E10" i="1"/>
  <c r="D10" i="1"/>
  <c r="C10" i="1"/>
  <c r="B10" i="1"/>
  <c r="AM111" i="1" l="1"/>
  <c r="AL114" i="1"/>
  <c r="C73" i="1"/>
  <c r="C92" i="1" s="1"/>
  <c r="C5" i="1"/>
  <c r="C58" i="1" s="1"/>
  <c r="J30" i="1"/>
  <c r="J29" i="1" s="1"/>
  <c r="C32" i="1"/>
  <c r="AN111" i="1" l="1"/>
  <c r="AM114" i="1"/>
  <c r="C83" i="1"/>
  <c r="C84" i="1" s="1"/>
  <c r="J73" i="1"/>
  <c r="J32" i="1"/>
  <c r="G10" i="1"/>
  <c r="H10" i="1"/>
  <c r="H14" i="1"/>
  <c r="AO111" i="1" l="1"/>
  <c r="AN114" i="1"/>
  <c r="J92" i="1"/>
  <c r="C86" i="1"/>
  <c r="C105" i="1" s="1"/>
  <c r="J74" i="1"/>
  <c r="G14" i="1"/>
  <c r="F14" i="1"/>
  <c r="F10" i="1"/>
  <c r="AO114" i="1" l="1"/>
  <c r="AP111" i="1"/>
  <c r="AP114" i="1" s="1"/>
  <c r="C107" i="1"/>
  <c r="J105" i="1"/>
  <c r="J12" i="1"/>
  <c r="I10" i="1"/>
  <c r="I14" i="1"/>
  <c r="J87" i="1" l="1"/>
  <c r="J64" i="1"/>
  <c r="C109" i="1"/>
  <c r="J107" i="1"/>
  <c r="J14" i="1"/>
  <c r="J109" i="1" l="1"/>
  <c r="J114" i="1" s="1"/>
  <c r="C114" i="1"/>
  <c r="J10" i="1"/>
  <c r="G66" i="1" l="1"/>
  <c r="J83" i="1" l="1"/>
  <c r="J79" i="1"/>
  <c r="B58" i="1"/>
  <c r="J80" i="1" l="1"/>
  <c r="J95" i="1"/>
  <c r="B56" i="1"/>
  <c r="J56" i="1" s="1"/>
  <c r="J5" i="1" s="1"/>
  <c r="J58" i="1" l="1"/>
  <c r="J86" i="1"/>
  <c r="J84" i="1"/>
  <c r="Q27" i="1" l="1"/>
  <c r="P25" i="1"/>
  <c r="P5" i="1" l="1"/>
  <c r="P69" i="1"/>
  <c r="R27" i="1"/>
  <c r="Q25" i="1"/>
  <c r="R25" i="1" l="1"/>
  <c r="S27" i="1"/>
  <c r="Q69" i="1"/>
  <c r="Q83" i="1" s="1"/>
  <c r="Q5" i="1"/>
  <c r="P83" i="1"/>
  <c r="P113" i="1"/>
  <c r="P58" i="1"/>
  <c r="P90" i="1"/>
  <c r="Q84" i="1" l="1"/>
  <c r="S25" i="1"/>
  <c r="T27" i="1"/>
  <c r="P84" i="1"/>
  <c r="Q86" i="1"/>
  <c r="Q58" i="1"/>
  <c r="Q113" i="1"/>
  <c r="Q90" i="1"/>
  <c r="P86" i="1"/>
  <c r="R69" i="1"/>
  <c r="R5" i="1"/>
  <c r="U27" i="1" l="1"/>
  <c r="T25" i="1"/>
  <c r="Q105" i="1"/>
  <c r="Q107" i="1" s="1"/>
  <c r="Q109" i="1" s="1"/>
  <c r="Q114" i="1" s="1"/>
  <c r="R113" i="1"/>
  <c r="R58" i="1"/>
  <c r="P105" i="1"/>
  <c r="R90" i="1"/>
  <c r="S5" i="1"/>
  <c r="S69" i="1"/>
  <c r="S58" i="1" l="1"/>
  <c r="S113" i="1"/>
  <c r="T5" i="1"/>
  <c r="T69" i="1"/>
  <c r="P107" i="1"/>
  <c r="S90" i="1"/>
  <c r="U25" i="1"/>
  <c r="V27" i="1"/>
  <c r="T58" i="1" l="1"/>
  <c r="T113" i="1"/>
  <c r="U69" i="1"/>
  <c r="U5" i="1"/>
  <c r="P109" i="1"/>
  <c r="V25" i="1"/>
  <c r="W27" i="1"/>
  <c r="T90" i="1"/>
  <c r="P114" i="1" l="1"/>
  <c r="V69" i="1"/>
  <c r="V5" i="1"/>
  <c r="U90" i="1"/>
  <c r="X27" i="1"/>
  <c r="W25" i="1"/>
  <c r="U58" i="1"/>
  <c r="U113" i="1"/>
  <c r="V90" i="1" l="1"/>
  <c r="V58" i="1"/>
  <c r="V113" i="1"/>
  <c r="Y27" i="1"/>
  <c r="Y25" i="1" s="1"/>
  <c r="X25" i="1"/>
  <c r="W5" i="1"/>
  <c r="W69" i="1"/>
  <c r="W90" i="1" l="1"/>
  <c r="X5" i="1"/>
  <c r="X69" i="1"/>
  <c r="X83" i="1" s="1"/>
  <c r="X84" i="1" s="1"/>
  <c r="Y69" i="1"/>
  <c r="Y5" i="1"/>
  <c r="W58" i="1"/>
  <c r="W113" i="1"/>
  <c r="Y83" i="1" l="1"/>
  <c r="Y113" i="1"/>
  <c r="Y86" i="1"/>
  <c r="Y58" i="1"/>
  <c r="X113" i="1"/>
  <c r="X58" i="1"/>
  <c r="X86" i="1"/>
  <c r="Y90" i="1"/>
  <c r="X90" i="1"/>
  <c r="Y105" i="1" l="1"/>
  <c r="Y84" i="1"/>
  <c r="X105" i="1"/>
  <c r="X107" i="1" s="1"/>
  <c r="X109" i="1" s="1"/>
  <c r="Y107" i="1" l="1"/>
  <c r="Y109" i="1" s="1"/>
  <c r="Z25" i="1" l="1"/>
  <c r="Z5" i="1" s="1"/>
  <c r="Z58" i="1" s="1"/>
  <c r="O69" i="1"/>
  <c r="Z69" i="1" s="1"/>
  <c r="Z70" i="1" s="1"/>
  <c r="O83" i="1"/>
  <c r="O5" i="1"/>
  <c r="O58" i="1" s="1"/>
  <c r="Z90" i="1" l="1"/>
  <c r="O113" i="1"/>
  <c r="Z113" i="1" s="1"/>
  <c r="O86" i="1"/>
  <c r="O90" i="1"/>
  <c r="Z27" i="1"/>
  <c r="O84" i="1"/>
  <c r="O105" i="1" l="1"/>
  <c r="O107" i="1" l="1"/>
  <c r="O109" i="1" l="1"/>
  <c r="O114" i="1" l="1"/>
  <c r="R73" i="1"/>
  <c r="R83" i="1" s="1"/>
  <c r="R86" i="1" l="1"/>
  <c r="R84" i="1"/>
  <c r="R92" i="1"/>
  <c r="R105" i="1" l="1"/>
  <c r="R107" i="1" l="1"/>
  <c r="R109" i="1" l="1"/>
  <c r="R114" i="1" l="1"/>
  <c r="W92" i="1"/>
  <c r="U73" i="1"/>
  <c r="U92" i="1" s="1"/>
  <c r="V92" i="1"/>
  <c r="V73" i="1"/>
  <c r="V83" i="1" s="1"/>
  <c r="T73" i="1"/>
  <c r="T83" i="1" s="1"/>
  <c r="W73" i="1"/>
  <c r="W83" i="1"/>
  <c r="W84" i="1" s="1"/>
  <c r="W86" i="1"/>
  <c r="W105" i="1"/>
  <c r="W107" i="1" s="1"/>
  <c r="W109" i="1" s="1"/>
  <c r="S73" i="1"/>
  <c r="Z73" i="1" s="1"/>
  <c r="S83" i="1"/>
  <c r="T86" i="1" l="1"/>
  <c r="T84" i="1"/>
  <c r="Z74" i="1"/>
  <c r="Z92" i="1"/>
  <c r="V86" i="1"/>
  <c r="V84" i="1"/>
  <c r="S84" i="1"/>
  <c r="T92" i="1"/>
  <c r="U83" i="1"/>
  <c r="S92" i="1"/>
  <c r="S86" i="1"/>
  <c r="U86" i="1" l="1"/>
  <c r="U84" i="1"/>
  <c r="V105" i="1"/>
  <c r="V107" i="1" s="1"/>
  <c r="V109" i="1" s="1"/>
  <c r="AA92" i="1"/>
  <c r="Z83" i="1"/>
  <c r="Z84" i="1" s="1"/>
  <c r="S105" i="1"/>
  <c r="Z86" i="1"/>
  <c r="T105" i="1"/>
  <c r="T107" i="1" s="1"/>
  <c r="T109" i="1"/>
  <c r="AA89" i="1" l="1"/>
  <c r="AA88" i="1"/>
  <c r="AA93" i="1"/>
  <c r="AA95" i="1"/>
  <c r="AA96" i="1"/>
  <c r="AA87" i="1"/>
  <c r="AA94" i="1"/>
  <c r="AA90" i="1"/>
  <c r="AA91" i="1"/>
  <c r="S107" i="1"/>
  <c r="U105" i="1"/>
  <c r="U107" i="1" s="1"/>
  <c r="U109" i="1" s="1"/>
  <c r="Z107" i="1" l="1"/>
  <c r="S109" i="1"/>
  <c r="Z105" i="1"/>
  <c r="Z109" i="1" l="1"/>
  <c r="S111" i="1"/>
  <c r="S114" i="1"/>
  <c r="T111" i="1" l="1"/>
  <c r="T114" i="1" l="1"/>
  <c r="U111" i="1"/>
  <c r="V111" i="1" l="1"/>
  <c r="U114" i="1"/>
  <c r="W111" i="1" l="1"/>
  <c r="V114" i="1"/>
  <c r="X111" i="1" l="1"/>
  <c r="W114" i="1"/>
  <c r="Y111" i="1" l="1"/>
  <c r="Y114" i="1" s="1"/>
  <c r="Z114" i="1" s="1"/>
  <c r="X114" i="1"/>
  <c r="Z111" i="1" l="1"/>
</calcChain>
</file>

<file path=xl/sharedStrings.xml><?xml version="1.0" encoding="utf-8"?>
<sst xmlns="http://schemas.openxmlformats.org/spreadsheetml/2006/main" count="414" uniqueCount="82">
  <si>
    <t>GMV</t>
  </si>
  <si>
    <t>Прочий GMV</t>
  </si>
  <si>
    <t>Ноябрь</t>
  </si>
  <si>
    <t>Январь</t>
  </si>
  <si>
    <t>Февраль</t>
  </si>
  <si>
    <t>Общий GMV</t>
  </si>
  <si>
    <t>Себестоимость</t>
  </si>
  <si>
    <t>Общая себестоимость</t>
  </si>
  <si>
    <t>Октябрь</t>
  </si>
  <si>
    <t>Сентябрь</t>
  </si>
  <si>
    <t>Август</t>
  </si>
  <si>
    <t>Июль</t>
  </si>
  <si>
    <t># клиентов</t>
  </si>
  <si>
    <t>средний чек</t>
  </si>
  <si>
    <t>Административный персонал</t>
  </si>
  <si>
    <t>Ком услуги</t>
  </si>
  <si>
    <t>Прочие ОАР</t>
  </si>
  <si>
    <t>Итого ОАР</t>
  </si>
  <si>
    <t>Маркетинговые расходы</t>
  </si>
  <si>
    <t>Прочие расходы на реализацию</t>
  </si>
  <si>
    <t>Итого расходов на реализацию</t>
  </si>
  <si>
    <t>Финансовые доходы</t>
  </si>
  <si>
    <t>Финансовые расходы</t>
  </si>
  <si>
    <t>Налоги</t>
  </si>
  <si>
    <t>Чистая прибыль</t>
  </si>
  <si>
    <t>Расходы на амортизацию</t>
  </si>
  <si>
    <t>Июнь</t>
  </si>
  <si>
    <t>Май</t>
  </si>
  <si>
    <t>Март</t>
  </si>
  <si>
    <t>Апрель</t>
  </si>
  <si>
    <t>Декабрь</t>
  </si>
  <si>
    <t>в т.ч. клининг B2C</t>
  </si>
  <si>
    <t>в т.ч. клининг B2B разовый</t>
  </si>
  <si>
    <t>в т.ч.клининг B2B пост обсл 365/12</t>
  </si>
  <si>
    <t>-</t>
  </si>
  <si>
    <t>ФАКТ 2024</t>
  </si>
  <si>
    <t>ПРОГНОЗ 2025</t>
  </si>
  <si>
    <t xml:space="preserve">ИТОГО 2025 </t>
  </si>
  <si>
    <t>ИТОГО 2026</t>
  </si>
  <si>
    <t>ПРОГНОЗ 2026</t>
  </si>
  <si>
    <t>ИТОГО 
7,5 мес 2024</t>
  </si>
  <si>
    <t>из них от AULA.KZ</t>
  </si>
  <si>
    <t>из них от BI GROUP</t>
  </si>
  <si>
    <t>Бонусы отдела продаж</t>
  </si>
  <si>
    <t>Химчистка мебели B2C</t>
  </si>
  <si>
    <t>Стирка ковров B2C</t>
  </si>
  <si>
    <t>Химчистка мебели B2B, B2G</t>
  </si>
  <si>
    <t>Стирка ковров B2B, B2G</t>
  </si>
  <si>
    <t>в т.ч.клининг B2G пост обсл 365/12</t>
  </si>
  <si>
    <t>Мойка окон B2B</t>
  </si>
  <si>
    <t>Мойка окон B2C</t>
  </si>
  <si>
    <t>Стирка ковров B2C, B2B, B2G</t>
  </si>
  <si>
    <t>Клининг B2B разовый</t>
  </si>
  <si>
    <t>Клининг B2C</t>
  </si>
  <si>
    <t>КЛИНИНГ ВСЕГО</t>
  </si>
  <si>
    <t>СТИРКА КОВРОВ ВСЕГО</t>
  </si>
  <si>
    <t>ХИМЧИСТКА МЕБЕЛИ ВСЕГО</t>
  </si>
  <si>
    <t>МОЙКА ОКОН ВСЕГО</t>
  </si>
  <si>
    <t>Клининг B2B пост обсл офисы, салоны и др</t>
  </si>
  <si>
    <t>Клининг B2B пост обсл ЖК</t>
  </si>
  <si>
    <t>Клининг B2G пост обсл 365/12</t>
  </si>
  <si>
    <t>Операционная прибыль (EBITDA)</t>
  </si>
  <si>
    <t>Доля</t>
  </si>
  <si>
    <t>Количество клиентов</t>
  </si>
  <si>
    <t>от других партнеров (Upravdom.kz, строительные, мебельные, риэлторские, ремонтные компании и пр.)</t>
  </si>
  <si>
    <t xml:space="preserve">Аренда </t>
  </si>
  <si>
    <t>РАСХОДЫ</t>
  </si>
  <si>
    <t>КЛИНИНГ</t>
  </si>
  <si>
    <t>ХИМЧИСТКА</t>
  </si>
  <si>
    <t>СТИРКА КОВРОВ</t>
  </si>
  <si>
    <t>МОЙКА ОКОН</t>
  </si>
  <si>
    <t>КЛИНИНГ ПОДРОБНО</t>
  </si>
  <si>
    <t>ДОХОДЫ</t>
  </si>
  <si>
    <t>ОАР</t>
  </si>
  <si>
    <t>РАСХОДЫ НА РЕАЛИЗАЦИЮ</t>
  </si>
  <si>
    <t>ФИНАНСОВЫЙ РЕЗУЛЬТАТ</t>
  </si>
  <si>
    <t>Доход (за вычетом себестоимости),    в т.ч.</t>
  </si>
  <si>
    <t>МЕСЯЦ</t>
  </si>
  <si>
    <t xml:space="preserve"> </t>
  </si>
  <si>
    <t>ОБСЛУЖИВАНИЕ ЖК ВСЕГО</t>
  </si>
  <si>
    <t>ОБСЛУЖИВАНИЕ ЖК</t>
  </si>
  <si>
    <t>Доход (за вычетом себестоимости), в т.ч.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</si>
</sst>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charset val="204"/>
      <scheme val="minor"/>
    </font>
    <font>
      <i/>
      <sz val="11"/>
      <color theme="1"/>
      <name val="Aptos Narrow"/>
      <charset val="204"/>
      <scheme val="minor"/>
    </font>
    <font>
      <b/>
      <sz val="16"/>
      <color theme="1"/>
      <name val="Aptos Narrow"/>
      <charset val="204"/>
      <scheme val="minor"/>
    </font>
    <font>
      <sz val="16"/>
      <color theme="1"/>
      <name val="Aptos Narrow"/>
      <charset val="204"/>
      <scheme val="minor"/>
    </font>
    <font>
      <b/>
      <i/>
      <sz val="16"/>
      <color theme="1"/>
      <name val="Aptos Narrow"/>
      <charset val="204"/>
      <scheme val="minor"/>
    </font>
    <font>
      <i/>
      <sz val="16"/>
      <color theme="1"/>
      <name val="Aptos Narrow"/>
      <charset val="204"/>
      <scheme val="minor"/>
    </font>
    <font>
      <b/>
      <sz val="18"/>
      <color theme="1"/>
      <name val="Aptos Narrow"/>
      <charset val="204"/>
      <scheme val="minor"/>
    </font>
    <font>
      <sz val="16"/>
      <name val="Aptos Narrow"/>
      <charset val="204"/>
      <scheme val="minor"/>
    </font>
    <font>
      <b/>
      <sz val="16"/>
      <name val="Aptos Narrow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0">
    <xf numFmtId="0" fontId="0" fillId="0" borderId="0" xfId="0"/>
    <xf numFmtId="165" fontId="0" fillId="0" borderId="0" xfId="1" applyNumberFormat="1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7" borderId="0" xfId="0" applyFill="1"/>
    <xf numFmtId="3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3" fontId="7" fillId="5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/>
    </xf>
    <xf numFmtId="3" fontId="4" fillId="7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3" fontId="5" fillId="7" borderId="1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/>
    <xf numFmtId="0" fontId="7" fillId="5" borderId="1" xfId="0" applyFont="1" applyFill="1" applyBorder="1" applyAlignment="1">
      <alignment horizontal="center" vertical="center"/>
    </xf>
    <xf numFmtId="0" fontId="4" fillId="5" borderId="1" xfId="0" applyFont="1" applyFill="1" applyBorder="1"/>
    <xf numFmtId="0" fontId="5" fillId="0" borderId="1" xfId="0" applyFont="1" applyBorder="1"/>
    <xf numFmtId="3" fontId="5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3" fontId="7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wrapText="1"/>
    </xf>
    <xf numFmtId="0" fontId="4" fillId="0" borderId="1" xfId="0" applyFont="1" applyBorder="1"/>
    <xf numFmtId="0" fontId="5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7" fillId="3" borderId="1" xfId="2" applyFont="1" applyFill="1" applyBorder="1" applyAlignment="1">
      <alignment horizontal="center" vertical="center"/>
    </xf>
    <xf numFmtId="9" fontId="7" fillId="3" borderId="1" xfId="2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3" fontId="5" fillId="3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4" fillId="0" borderId="1" xfId="0" applyFont="1" applyBorder="1" applyAlignment="1"/>
    <xf numFmtId="0" fontId="4" fillId="0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7" fillId="2" borderId="1" xfId="0" applyFont="1" applyFill="1" applyBorder="1" applyAlignment="1">
      <alignment horizontal="right"/>
    </xf>
    <xf numFmtId="3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wrapText="1"/>
    </xf>
    <xf numFmtId="9" fontId="7" fillId="2" borderId="1" xfId="0" applyNumberFormat="1" applyFont="1" applyFill="1" applyBorder="1" applyAlignment="1">
      <alignment horizontal="center" vertical="center"/>
    </xf>
    <xf numFmtId="9" fontId="5" fillId="2" borderId="1" xfId="2" applyFont="1" applyFill="1" applyBorder="1" applyAlignment="1">
      <alignment horizontal="center" vertical="center"/>
    </xf>
    <xf numFmtId="9" fontId="7" fillId="2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/>
    </xf>
    <xf numFmtId="0" fontId="4" fillId="2" borderId="1" xfId="0" applyFont="1" applyFill="1" applyBorder="1" applyAlignment="1"/>
    <xf numFmtId="0" fontId="8" fillId="4" borderId="0" xfId="0" applyFont="1" applyFill="1" applyBorder="1"/>
    <xf numFmtId="3" fontId="8" fillId="4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3" fontId="4" fillId="8" borderId="1" xfId="0" applyNumberFormat="1" applyFont="1" applyFill="1" applyBorder="1" applyAlignment="1">
      <alignment horizontal="center" vertical="center"/>
    </xf>
    <xf numFmtId="3" fontId="5" fillId="8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3" fontId="5" fillId="8" borderId="1" xfId="0" applyNumberFormat="1" applyFont="1" applyFill="1" applyBorder="1" applyAlignment="1">
      <alignment horizontal="center"/>
    </xf>
    <xf numFmtId="0" fontId="4" fillId="6" borderId="1" xfId="0" applyFont="1" applyFill="1" applyBorder="1"/>
    <xf numFmtId="3" fontId="7" fillId="6" borderId="1" xfId="0" applyNumberFormat="1" applyFont="1" applyFill="1" applyBorder="1" applyAlignment="1">
      <alignment horizontal="center" vertical="center"/>
    </xf>
    <xf numFmtId="3" fontId="7" fillId="8" borderId="1" xfId="0" applyNumberFormat="1" applyFont="1" applyFill="1" applyBorder="1" applyAlignment="1">
      <alignment horizontal="center" vertical="center"/>
    </xf>
    <xf numFmtId="9" fontId="7" fillId="8" borderId="1" xfId="0" applyNumberFormat="1" applyFont="1" applyFill="1" applyBorder="1" applyAlignment="1">
      <alignment horizontal="center" vertical="center"/>
    </xf>
    <xf numFmtId="9" fontId="7" fillId="8" borderId="1" xfId="2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8" fillId="4" borderId="1" xfId="0" applyFont="1" applyFill="1" applyBorder="1"/>
    <xf numFmtId="3" fontId="5" fillId="6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9" fontId="4" fillId="3" borderId="4" xfId="2" applyFont="1" applyFill="1" applyBorder="1" applyAlignment="1">
      <alignment horizontal="center" vertical="center"/>
    </xf>
    <xf numFmtId="9" fontId="7" fillId="2" borderId="1" xfId="2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7" fillId="5" borderId="4" xfId="0" applyNumberFormat="1" applyFont="1" applyFill="1" applyBorder="1" applyAlignment="1">
      <alignment horizontal="center" vertical="center"/>
    </xf>
    <xf numFmtId="3" fontId="6" fillId="5" borderId="4" xfId="0" applyNumberFormat="1" applyFont="1" applyFill="1" applyBorder="1" applyAlignment="1">
      <alignment horizontal="center" vertical="center"/>
    </xf>
    <xf numFmtId="3" fontId="4" fillId="5" borderId="4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9" fontId="7" fillId="2" borderId="1" xfId="2" applyFont="1" applyFill="1" applyBorder="1" applyAlignment="1">
      <alignment horizontal="center" vertical="center"/>
    </xf>
    <xf numFmtId="0" fontId="0" fillId="3" borderId="0" xfId="0" applyFill="1"/>
    <xf numFmtId="0" fontId="5" fillId="7" borderId="1" xfId="0" applyFont="1" applyFill="1" applyBorder="1" applyAlignment="1">
      <alignment horizontal="right"/>
    </xf>
    <xf numFmtId="0" fontId="5" fillId="8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3" fontId="5" fillId="8" borderId="3" xfId="0" applyNumberFormat="1" applyFont="1" applyFill="1" applyBorder="1" applyAlignment="1">
      <alignment horizontal="center" vertical="center"/>
    </xf>
    <xf numFmtId="3" fontId="5" fillId="8" borderId="4" xfId="0" applyNumberFormat="1" applyFont="1" applyFill="1" applyBorder="1" applyAlignment="1">
      <alignment horizontal="center" vertical="center"/>
    </xf>
    <xf numFmtId="9" fontId="5" fillId="9" borderId="1" xfId="2" applyFont="1" applyFill="1" applyBorder="1" applyAlignment="1">
      <alignment horizontal="center" vertical="center"/>
    </xf>
    <xf numFmtId="9" fontId="4" fillId="10" borderId="1" xfId="2" applyFont="1" applyFill="1" applyBorder="1" applyAlignment="1">
      <alignment horizontal="center" vertical="center"/>
    </xf>
    <xf numFmtId="166" fontId="10" fillId="10" borderId="1" xfId="2" applyNumberFormat="1" applyFont="1" applyFill="1" applyBorder="1" applyAlignment="1">
      <alignment horizontal="center" vertical="center"/>
    </xf>
    <xf numFmtId="166" fontId="5" fillId="4" borderId="1" xfId="2" applyNumberFormat="1" applyFont="1" applyFill="1" applyBorder="1" applyAlignment="1">
      <alignment horizontal="center" vertical="center"/>
    </xf>
    <xf numFmtId="166" fontId="5" fillId="9" borderId="1" xfId="2" applyNumberFormat="1" applyFont="1" applyFill="1" applyBorder="1" applyAlignment="1">
      <alignment horizontal="center" vertical="center"/>
    </xf>
    <xf numFmtId="9" fontId="5" fillId="10" borderId="1" xfId="2" applyFont="1" applyFill="1" applyBorder="1" applyAlignment="1">
      <alignment horizontal="center" vertical="center"/>
    </xf>
    <xf numFmtId="9" fontId="5" fillId="4" borderId="1" xfId="2" applyFont="1" applyFill="1" applyBorder="1" applyAlignment="1">
      <alignment horizontal="center" vertical="center"/>
    </xf>
    <xf numFmtId="9" fontId="9" fillId="9" borderId="1" xfId="2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3" fontId="4" fillId="5" borderId="3" xfId="0" applyNumberFormat="1" applyFont="1" applyFill="1" applyBorder="1" applyAlignment="1">
      <alignment horizontal="center" vertical="center"/>
    </xf>
    <xf numFmtId="3" fontId="4" fillId="5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9" fontId="4" fillId="3" borderId="2" xfId="2" applyFont="1" applyFill="1" applyBorder="1" applyAlignment="1">
      <alignment horizontal="center" vertical="center"/>
    </xf>
    <xf numFmtId="9" fontId="4" fillId="3" borderId="3" xfId="2" applyFont="1" applyFill="1" applyBorder="1" applyAlignment="1">
      <alignment horizontal="center" vertical="center"/>
    </xf>
    <xf numFmtId="9" fontId="4" fillId="3" borderId="4" xfId="2" applyFont="1" applyFill="1" applyBorder="1" applyAlignment="1">
      <alignment horizontal="center" vertical="center"/>
    </xf>
    <xf numFmtId="9" fontId="4" fillId="2" borderId="1" xfId="2" applyFont="1" applyFill="1" applyBorder="1" applyAlignment="1">
      <alignment horizontal="center" vertical="center"/>
    </xf>
    <xf numFmtId="9" fontId="7" fillId="2" borderId="1" xfId="2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/>
    </xf>
    <xf numFmtId="3" fontId="7" fillId="5" borderId="3" xfId="0" applyNumberFormat="1" applyFont="1" applyFill="1" applyBorder="1" applyAlignment="1">
      <alignment horizontal="center" vertical="center"/>
    </xf>
    <xf numFmtId="3" fontId="7" fillId="5" borderId="4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>
      <alignment horizontal="center" vertical="center"/>
    </xf>
    <xf numFmtId="3" fontId="6" fillId="5" borderId="3" xfId="0" applyNumberFormat="1" applyFont="1" applyFill="1" applyBorder="1" applyAlignment="1">
      <alignment horizontal="center" vertical="center"/>
    </xf>
    <xf numFmtId="3" fontId="6" fillId="5" borderId="4" xfId="0" applyNumberFormat="1" applyFont="1" applyFill="1" applyBorder="1" applyAlignment="1">
      <alignment horizontal="center" vertical="center"/>
    </xf>
    <xf numFmtId="3" fontId="4" fillId="8" borderId="2" xfId="0" applyNumberFormat="1" applyFont="1" applyFill="1" applyBorder="1" applyAlignment="1">
      <alignment horizontal="center" vertical="center"/>
    </xf>
    <xf numFmtId="3" fontId="4" fillId="8" borderId="3" xfId="0" applyNumberFormat="1" applyFont="1" applyFill="1" applyBorder="1" applyAlignment="1">
      <alignment horizontal="center" vertical="center"/>
    </xf>
    <xf numFmtId="3" fontId="4" fillId="8" borderId="4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9" fontId="4" fillId="6" borderId="2" xfId="2" applyFont="1" applyFill="1" applyBorder="1" applyAlignment="1">
      <alignment horizontal="center" vertical="center"/>
    </xf>
    <xf numFmtId="9" fontId="7" fillId="6" borderId="3" xfId="2" applyFont="1" applyFill="1" applyBorder="1" applyAlignment="1">
      <alignment horizontal="center" vertical="center"/>
    </xf>
    <xf numFmtId="9" fontId="7" fillId="6" borderId="4" xfId="2" applyFont="1" applyFill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Q118"/>
  <sheetViews>
    <sheetView showGridLines="0" tabSelected="1" topLeftCell="H82" zoomScale="55" zoomScaleNormal="55" zoomScaleSheetLayoutView="40" zoomScalePageLayoutView="55" workbookViewId="0">
      <selection activeCell="N112" sqref="N112"/>
    </sheetView>
  </sheetViews>
  <sheetFormatPr defaultRowHeight="14.25"/>
  <cols>
    <col min="1" max="1" width="61.375" customWidth="1"/>
    <col min="2" max="9" width="20.625" customWidth="1"/>
    <col min="10" max="10" width="22.5" customWidth="1"/>
    <col min="11" max="11" width="16.25" customWidth="1"/>
    <col min="12" max="12" width="3.75" customWidth="1"/>
    <col min="13" max="13" width="64.125" customWidth="1"/>
    <col min="14" max="27" width="20.625" customWidth="1"/>
    <col min="28" max="28" width="3.875" customWidth="1"/>
    <col min="29" max="29" width="46" customWidth="1"/>
    <col min="30" max="30" width="32.25" customWidth="1"/>
    <col min="31" max="42" width="20.625" customWidth="1"/>
    <col min="43" max="43" width="14" customWidth="1"/>
  </cols>
  <sheetData>
    <row r="3" spans="1:42" ht="30" customHeight="1">
      <c r="A3" s="142" t="s">
        <v>35</v>
      </c>
      <c r="B3" s="143"/>
      <c r="C3" s="143"/>
      <c r="D3" s="143"/>
      <c r="E3" s="143"/>
      <c r="F3" s="143"/>
      <c r="G3" s="143"/>
      <c r="H3" s="143"/>
      <c r="I3" s="143"/>
      <c r="J3" s="144"/>
      <c r="K3" s="99"/>
      <c r="L3" s="141"/>
      <c r="M3" s="160" t="s">
        <v>36</v>
      </c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2"/>
      <c r="AA3" s="98"/>
      <c r="AB3" s="163"/>
      <c r="AC3" s="154" t="s">
        <v>39</v>
      </c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6"/>
    </row>
    <row r="4" spans="1:42" ht="51" customHeight="1">
      <c r="A4" s="6" t="s">
        <v>77</v>
      </c>
      <c r="B4" s="7" t="s">
        <v>27</v>
      </c>
      <c r="C4" s="7" t="s">
        <v>26</v>
      </c>
      <c r="D4" s="7" t="s">
        <v>11</v>
      </c>
      <c r="E4" s="7" t="s">
        <v>10</v>
      </c>
      <c r="F4" s="7" t="s">
        <v>9</v>
      </c>
      <c r="G4" s="7" t="s">
        <v>8</v>
      </c>
      <c r="H4" s="7" t="s">
        <v>2</v>
      </c>
      <c r="I4" s="7" t="s">
        <v>30</v>
      </c>
      <c r="J4" s="8" t="s">
        <v>40</v>
      </c>
      <c r="K4" s="8"/>
      <c r="L4" s="141"/>
      <c r="M4" s="45" t="s">
        <v>78</v>
      </c>
      <c r="N4" s="45" t="s">
        <v>3</v>
      </c>
      <c r="O4" s="45" t="s">
        <v>4</v>
      </c>
      <c r="P4" s="45" t="s">
        <v>28</v>
      </c>
      <c r="Q4" s="45" t="s">
        <v>29</v>
      </c>
      <c r="R4" s="45" t="s">
        <v>27</v>
      </c>
      <c r="S4" s="45" t="s">
        <v>26</v>
      </c>
      <c r="T4" s="45" t="s">
        <v>11</v>
      </c>
      <c r="U4" s="45" t="s">
        <v>10</v>
      </c>
      <c r="V4" s="45" t="s">
        <v>9</v>
      </c>
      <c r="W4" s="45" t="s">
        <v>8</v>
      </c>
      <c r="X4" s="45" t="s">
        <v>2</v>
      </c>
      <c r="Y4" s="45" t="s">
        <v>30</v>
      </c>
      <c r="Z4" s="46" t="s">
        <v>37</v>
      </c>
      <c r="AA4" s="46"/>
      <c r="AB4" s="163"/>
      <c r="AC4" s="69" t="s">
        <v>77</v>
      </c>
      <c r="AD4" s="70" t="s">
        <v>3</v>
      </c>
      <c r="AE4" s="70" t="s">
        <v>4</v>
      </c>
      <c r="AF4" s="70" t="s">
        <v>28</v>
      </c>
      <c r="AG4" s="70" t="s">
        <v>29</v>
      </c>
      <c r="AH4" s="70" t="s">
        <v>27</v>
      </c>
      <c r="AI4" s="70" t="s">
        <v>26</v>
      </c>
      <c r="AJ4" s="70" t="s">
        <v>11</v>
      </c>
      <c r="AK4" s="70" t="s">
        <v>10</v>
      </c>
      <c r="AL4" s="70" t="s">
        <v>9</v>
      </c>
      <c r="AM4" s="70" t="s">
        <v>8</v>
      </c>
      <c r="AN4" s="70" t="s">
        <v>2</v>
      </c>
      <c r="AO4" s="70" t="s">
        <v>30</v>
      </c>
      <c r="AP4" s="71" t="s">
        <v>38</v>
      </c>
    </row>
    <row r="5" spans="1:42" ht="30" customHeight="1">
      <c r="A5" s="9" t="s">
        <v>0</v>
      </c>
      <c r="B5" s="10">
        <f>B8+B29+B37+B47</f>
        <v>1293499</v>
      </c>
      <c r="C5" s="10">
        <f>C8+C29+C37+C47+C56</f>
        <v>3773653</v>
      </c>
      <c r="D5" s="10">
        <f>D8+D29+D37+D47+D56</f>
        <v>3927880</v>
      </c>
      <c r="E5" s="10">
        <f>E8+E29+E37+E47</f>
        <v>3899366</v>
      </c>
      <c r="F5" s="10">
        <f>F8+F29+F37+F47</f>
        <v>2958988</v>
      </c>
      <c r="G5" s="10">
        <f>G8+G29+G37+G47</f>
        <v>1722164</v>
      </c>
      <c r="H5" s="10">
        <f>H8+H29+H37+H47</f>
        <v>1583595</v>
      </c>
      <c r="I5" s="10">
        <f>I8+I29+I37+I47</f>
        <v>2734859</v>
      </c>
      <c r="J5" s="10">
        <f>J8+J29+J37+J47+J56</f>
        <v>21864004</v>
      </c>
      <c r="K5" s="10"/>
      <c r="L5" s="141"/>
      <c r="M5" s="46" t="s">
        <v>0</v>
      </c>
      <c r="N5" s="47">
        <f>N8++N25+N29+N37+N47</f>
        <v>1544324</v>
      </c>
      <c r="O5" s="47">
        <f>O8+O29+O37+O47+O25</f>
        <v>7230266.5999999996</v>
      </c>
      <c r="P5" s="93">
        <f t="shared" ref="P5:Z5" si="0">P8+P29+P37+P47+P25</f>
        <v>9824990.2214000002</v>
      </c>
      <c r="Q5" s="93">
        <f t="shared" si="0"/>
        <v>15642027.523536</v>
      </c>
      <c r="R5" s="93">
        <f t="shared" si="0"/>
        <v>21304415.754313279</v>
      </c>
      <c r="S5" s="93">
        <f t="shared" si="0"/>
        <v>26986263.477709182</v>
      </c>
      <c r="T5" s="93">
        <f t="shared" si="0"/>
        <v>36139050.220052771</v>
      </c>
      <c r="U5" s="93">
        <f t="shared" si="0"/>
        <v>44110747.353999794</v>
      </c>
      <c r="V5" s="93">
        <f t="shared" si="0"/>
        <v>45198006.001400009</v>
      </c>
      <c r="W5" s="93">
        <f t="shared" si="0"/>
        <v>40869844.001400009</v>
      </c>
      <c r="X5" s="93">
        <f t="shared" si="0"/>
        <v>45277318.710800007</v>
      </c>
      <c r="Y5" s="93">
        <f t="shared" si="0"/>
        <v>49914260.850800008</v>
      </c>
      <c r="Z5" s="93">
        <f t="shared" si="0"/>
        <v>344041514.71541107</v>
      </c>
      <c r="AA5" s="93"/>
      <c r="AB5" s="163"/>
      <c r="AC5" s="72" t="s">
        <v>0</v>
      </c>
      <c r="AD5" s="73">
        <f>AD8+AD29+AD37+AD47+AD25</f>
        <v>51896506</v>
      </c>
      <c r="AE5" s="73">
        <f t="shared" ref="AE5:AP5" si="1">AE8+AE29+AE37+AE47+AE25</f>
        <v>60550794</v>
      </c>
      <c r="AF5" s="73">
        <f t="shared" si="1"/>
        <v>66808507</v>
      </c>
      <c r="AG5" s="73">
        <f t="shared" si="1"/>
        <v>74648614</v>
      </c>
      <c r="AH5" s="73">
        <f t="shared" si="1"/>
        <v>81193211</v>
      </c>
      <c r="AI5" s="73">
        <f t="shared" si="1"/>
        <v>95384691</v>
      </c>
      <c r="AJ5" s="73">
        <f t="shared" si="1"/>
        <v>103267772</v>
      </c>
      <c r="AK5" s="73">
        <f t="shared" si="1"/>
        <v>113094330</v>
      </c>
      <c r="AL5" s="73">
        <f t="shared" si="1"/>
        <v>115626828</v>
      </c>
      <c r="AM5" s="73">
        <f t="shared" si="1"/>
        <v>115150851</v>
      </c>
      <c r="AN5" s="73">
        <f t="shared" si="1"/>
        <v>119037496</v>
      </c>
      <c r="AO5" s="73">
        <f t="shared" si="1"/>
        <v>130384867</v>
      </c>
      <c r="AP5" s="73">
        <f t="shared" si="1"/>
        <v>1127044467</v>
      </c>
    </row>
    <row r="6" spans="1:42" ht="30" customHeight="1">
      <c r="A6" s="9" t="s">
        <v>63</v>
      </c>
      <c r="B6" s="10">
        <f t="shared" ref="B6:J6" si="2">B9+B31+B38+B48</f>
        <v>60</v>
      </c>
      <c r="C6" s="10">
        <f t="shared" si="2"/>
        <v>127</v>
      </c>
      <c r="D6" s="10">
        <f t="shared" si="2"/>
        <v>106</v>
      </c>
      <c r="E6" s="10">
        <f t="shared" si="2"/>
        <v>107</v>
      </c>
      <c r="F6" s="10">
        <f t="shared" si="2"/>
        <v>85</v>
      </c>
      <c r="G6" s="10">
        <f t="shared" si="2"/>
        <v>65</v>
      </c>
      <c r="H6" s="10">
        <f t="shared" si="2"/>
        <v>52</v>
      </c>
      <c r="I6" s="10">
        <f t="shared" si="2"/>
        <v>86</v>
      </c>
      <c r="J6" s="10">
        <f t="shared" si="2"/>
        <v>688</v>
      </c>
      <c r="K6" s="10"/>
      <c r="L6" s="141"/>
      <c r="M6" s="46" t="s">
        <v>63</v>
      </c>
      <c r="N6" s="46">
        <f>N9+N31+N38+N48</f>
        <v>47</v>
      </c>
      <c r="O6" s="93">
        <f>O9+O31+O38+O48+O26</f>
        <v>71</v>
      </c>
      <c r="P6" s="93">
        <f t="shared" ref="P6:Z6" si="3">P9+P31+P38+P48+P26</f>
        <v>113.5</v>
      </c>
      <c r="Q6" s="93">
        <f t="shared" si="3"/>
        <v>159</v>
      </c>
      <c r="R6" s="93">
        <f t="shared" si="3"/>
        <v>243</v>
      </c>
      <c r="S6" s="93">
        <f t="shared" si="3"/>
        <v>355</v>
      </c>
      <c r="T6" s="93">
        <f t="shared" si="3"/>
        <v>523</v>
      </c>
      <c r="U6" s="93">
        <f t="shared" si="3"/>
        <v>639</v>
      </c>
      <c r="V6" s="93">
        <f t="shared" si="3"/>
        <v>590</v>
      </c>
      <c r="W6" s="93">
        <f t="shared" si="3"/>
        <v>461</v>
      </c>
      <c r="X6" s="93">
        <f t="shared" si="3"/>
        <v>422</v>
      </c>
      <c r="Y6" s="93">
        <f t="shared" si="3"/>
        <v>620</v>
      </c>
      <c r="Z6" s="93">
        <f t="shared" si="3"/>
        <v>4243.5</v>
      </c>
      <c r="AA6" s="93"/>
      <c r="AB6" s="163"/>
      <c r="AC6" s="72" t="s">
        <v>63</v>
      </c>
      <c r="AD6" s="73">
        <f t="shared" ref="AD6:AP6" si="4">AD9+AD31+AD34+AD38+AD48</f>
        <v>307</v>
      </c>
      <c r="AE6" s="73">
        <f t="shared" si="4"/>
        <v>358</v>
      </c>
      <c r="AF6" s="73">
        <f t="shared" si="4"/>
        <v>422</v>
      </c>
      <c r="AG6" s="73">
        <f t="shared" si="4"/>
        <v>508</v>
      </c>
      <c r="AH6" s="73">
        <f t="shared" si="4"/>
        <v>610</v>
      </c>
      <c r="AI6" s="73">
        <f t="shared" si="4"/>
        <v>731</v>
      </c>
      <c r="AJ6" s="73">
        <f t="shared" si="4"/>
        <v>873</v>
      </c>
      <c r="AK6" s="73">
        <f t="shared" si="4"/>
        <v>1035</v>
      </c>
      <c r="AL6" s="73">
        <f t="shared" si="4"/>
        <v>1041</v>
      </c>
      <c r="AM6" s="73">
        <f t="shared" si="4"/>
        <v>872</v>
      </c>
      <c r="AN6" s="73">
        <f t="shared" si="4"/>
        <v>990</v>
      </c>
      <c r="AO6" s="73">
        <f t="shared" si="4"/>
        <v>1265</v>
      </c>
      <c r="AP6" s="73">
        <f t="shared" si="4"/>
        <v>9012</v>
      </c>
    </row>
    <row r="7" spans="1:42" ht="30" customHeight="1">
      <c r="A7" s="131" t="s">
        <v>67</v>
      </c>
      <c r="B7" s="132"/>
      <c r="C7" s="132"/>
      <c r="D7" s="132"/>
      <c r="E7" s="132"/>
      <c r="F7" s="132"/>
      <c r="G7" s="132"/>
      <c r="H7" s="132"/>
      <c r="I7" s="132"/>
      <c r="J7" s="133"/>
      <c r="K7" s="92"/>
      <c r="L7" s="141"/>
      <c r="M7" s="157" t="s">
        <v>67</v>
      </c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9"/>
      <c r="AA7" s="97"/>
      <c r="AB7" s="163"/>
      <c r="AC7" s="151" t="s">
        <v>67</v>
      </c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3"/>
    </row>
    <row r="8" spans="1:42" ht="30" customHeight="1">
      <c r="A8" s="11" t="s">
        <v>54</v>
      </c>
      <c r="B8" s="12">
        <f>B12+B15+B18+B21</f>
        <v>766059</v>
      </c>
      <c r="C8" s="12">
        <f>C12+C15+C18+C21</f>
        <v>2608759</v>
      </c>
      <c r="D8" s="12">
        <f>D12+D15+D18+D21+D56</f>
        <v>2971176</v>
      </c>
      <c r="E8" s="12">
        <f>E12+E15+E18+E21</f>
        <v>3153637</v>
      </c>
      <c r="F8" s="12">
        <f>F12+F15+F18+F21</f>
        <v>1962444</v>
      </c>
      <c r="G8" s="12">
        <f>G12+G15+G18+G21</f>
        <v>949035</v>
      </c>
      <c r="H8" s="12">
        <f>H12+H15+H18+H21</f>
        <v>1173104</v>
      </c>
      <c r="I8" s="12">
        <f>I12+I15+I18+I21</f>
        <v>2055813</v>
      </c>
      <c r="J8" s="12">
        <f>J12+J15+J18+J21+J25</f>
        <v>15610027</v>
      </c>
      <c r="K8" s="12"/>
      <c r="L8" s="141"/>
      <c r="M8" s="46" t="s">
        <v>54</v>
      </c>
      <c r="N8" s="47">
        <f>N12+N15+N18+N21</f>
        <v>1292204</v>
      </c>
      <c r="O8" s="93">
        <f t="shared" ref="O8:Z8" si="5">O12+O15+O18+O21</f>
        <v>2818722.6</v>
      </c>
      <c r="P8" s="93">
        <f t="shared" si="5"/>
        <v>4816890.2214000002</v>
      </c>
      <c r="Q8" s="93">
        <f t="shared" si="5"/>
        <v>7936140.5235360004</v>
      </c>
      <c r="R8" s="93">
        <f t="shared" si="5"/>
        <v>11271452.55431328</v>
      </c>
      <c r="S8" s="93">
        <f t="shared" si="5"/>
        <v>15231198.277709182</v>
      </c>
      <c r="T8" s="93">
        <f t="shared" si="5"/>
        <v>19993907.380052771</v>
      </c>
      <c r="U8" s="93">
        <f t="shared" si="5"/>
        <v>23574906.89799979</v>
      </c>
      <c r="V8" s="93">
        <f t="shared" si="5"/>
        <v>23108503.344000001</v>
      </c>
      <c r="W8" s="93">
        <f t="shared" si="5"/>
        <v>21269351.344000001</v>
      </c>
      <c r="X8" s="93">
        <f t="shared" si="5"/>
        <v>24989864.424800001</v>
      </c>
      <c r="Y8" s="93">
        <f t="shared" si="5"/>
        <v>28091242.564800002</v>
      </c>
      <c r="Z8" s="93">
        <f t="shared" si="5"/>
        <v>184394384.13261104</v>
      </c>
      <c r="AA8" s="93"/>
      <c r="AB8" s="163"/>
      <c r="AC8" s="72" t="s">
        <v>54</v>
      </c>
      <c r="AD8" s="73">
        <f>AD12+AD15+AD18+AD21</f>
        <v>25828056</v>
      </c>
      <c r="AE8" s="73">
        <f t="shared" ref="AE8:AP8" si="6">AE12+AE15+AE18+AE21</f>
        <v>30699508</v>
      </c>
      <c r="AF8" s="73">
        <f t="shared" si="6"/>
        <v>32712976</v>
      </c>
      <c r="AG8" s="73">
        <f t="shared" si="6"/>
        <v>36032428</v>
      </c>
      <c r="AH8" s="73">
        <f t="shared" si="6"/>
        <v>37653263</v>
      </c>
      <c r="AI8" s="73">
        <f t="shared" si="6"/>
        <v>44446862</v>
      </c>
      <c r="AJ8" s="73">
        <f t="shared" si="6"/>
        <v>46265001</v>
      </c>
      <c r="AK8" s="73">
        <f t="shared" si="6"/>
        <v>49866688</v>
      </c>
      <c r="AL8" s="73">
        <f t="shared" si="6"/>
        <v>47995732</v>
      </c>
      <c r="AM8" s="73">
        <f t="shared" si="6"/>
        <v>48042686</v>
      </c>
      <c r="AN8" s="73">
        <f t="shared" si="6"/>
        <v>48433677</v>
      </c>
      <c r="AO8" s="73">
        <f t="shared" si="6"/>
        <v>55164018</v>
      </c>
      <c r="AP8" s="73">
        <f t="shared" si="6"/>
        <v>503140895</v>
      </c>
    </row>
    <row r="9" spans="1:42" ht="30" customHeight="1">
      <c r="A9" s="13" t="s">
        <v>12</v>
      </c>
      <c r="B9" s="14">
        <v>25</v>
      </c>
      <c r="C9" s="14">
        <v>70</v>
      </c>
      <c r="D9" s="14">
        <v>61</v>
      </c>
      <c r="E9" s="14">
        <v>61</v>
      </c>
      <c r="F9" s="14">
        <v>48</v>
      </c>
      <c r="G9" s="14">
        <v>27</v>
      </c>
      <c r="H9" s="14">
        <v>32</v>
      </c>
      <c r="I9" s="15">
        <v>50</v>
      </c>
      <c r="J9" s="15">
        <f>SUM(B9:I9)</f>
        <v>374</v>
      </c>
      <c r="K9" s="15"/>
      <c r="L9" s="141"/>
      <c r="M9" s="48" t="s">
        <v>12</v>
      </c>
      <c r="N9" s="49">
        <f>N13+N16+N19+N22</f>
        <v>31</v>
      </c>
      <c r="O9" s="49">
        <f t="shared" ref="O9:Z9" si="7">O13+O16+O19+O22</f>
        <v>49</v>
      </c>
      <c r="P9" s="49">
        <f t="shared" si="7"/>
        <v>64.5</v>
      </c>
      <c r="Q9" s="49">
        <f t="shared" si="7"/>
        <v>77</v>
      </c>
      <c r="R9" s="49">
        <f t="shared" si="7"/>
        <v>99</v>
      </c>
      <c r="S9" s="49">
        <f t="shared" si="7"/>
        <v>128</v>
      </c>
      <c r="T9" s="49">
        <f t="shared" si="7"/>
        <v>166</v>
      </c>
      <c r="U9" s="49">
        <f t="shared" si="7"/>
        <v>184</v>
      </c>
      <c r="V9" s="49">
        <f t="shared" si="7"/>
        <v>163</v>
      </c>
      <c r="W9" s="49">
        <f t="shared" si="7"/>
        <v>132</v>
      </c>
      <c r="X9" s="49">
        <f t="shared" si="7"/>
        <v>155</v>
      </c>
      <c r="Y9" s="49">
        <f t="shared" si="7"/>
        <v>210</v>
      </c>
      <c r="Z9" s="49">
        <f t="shared" si="7"/>
        <v>1458.5</v>
      </c>
      <c r="AA9" s="49"/>
      <c r="AB9" s="163"/>
      <c r="AC9" s="89" t="s">
        <v>12</v>
      </c>
      <c r="AD9" s="74">
        <f>AD13+AD16+AD19+AD22</f>
        <v>134</v>
      </c>
      <c r="AE9" s="74">
        <f t="shared" ref="AE9:AP9" si="8">AE13+AE16+AE19+AE22</f>
        <v>150</v>
      </c>
      <c r="AF9" s="74">
        <f t="shared" si="8"/>
        <v>174</v>
      </c>
      <c r="AG9" s="74">
        <f t="shared" si="8"/>
        <v>194</v>
      </c>
      <c r="AH9" s="74">
        <f t="shared" si="8"/>
        <v>214</v>
      </c>
      <c r="AI9" s="74">
        <f t="shared" si="8"/>
        <v>232</v>
      </c>
      <c r="AJ9" s="74">
        <f t="shared" si="8"/>
        <v>254</v>
      </c>
      <c r="AK9" s="74">
        <f t="shared" si="8"/>
        <v>276</v>
      </c>
      <c r="AL9" s="74">
        <f t="shared" si="8"/>
        <v>250</v>
      </c>
      <c r="AM9" s="74">
        <f t="shared" si="8"/>
        <v>196</v>
      </c>
      <c r="AN9" s="74">
        <f t="shared" si="8"/>
        <v>212</v>
      </c>
      <c r="AO9" s="74">
        <f t="shared" si="8"/>
        <v>294</v>
      </c>
      <c r="AP9" s="74">
        <f t="shared" si="8"/>
        <v>2580</v>
      </c>
    </row>
    <row r="10" spans="1:42" ht="30" customHeight="1">
      <c r="A10" s="13" t="s">
        <v>13</v>
      </c>
      <c r="B10" s="14">
        <f t="shared" ref="B10:H10" si="9">B8/B9</f>
        <v>30642.36</v>
      </c>
      <c r="C10" s="14">
        <f t="shared" si="9"/>
        <v>37267.985714285714</v>
      </c>
      <c r="D10" s="14">
        <f t="shared" si="9"/>
        <v>48707.803278688523</v>
      </c>
      <c r="E10" s="14">
        <f t="shared" si="9"/>
        <v>51698.967213114753</v>
      </c>
      <c r="F10" s="14">
        <f t="shared" si="9"/>
        <v>40884.25</v>
      </c>
      <c r="G10" s="14">
        <f t="shared" si="9"/>
        <v>35149.444444444445</v>
      </c>
      <c r="H10" s="14">
        <f t="shared" si="9"/>
        <v>36659.5</v>
      </c>
      <c r="I10" s="15">
        <f>I8/I9</f>
        <v>41116.26</v>
      </c>
      <c r="J10" s="15">
        <f>J8/J9</f>
        <v>41738.04010695187</v>
      </c>
      <c r="K10" s="15"/>
      <c r="L10" s="141"/>
      <c r="M10" s="48" t="s">
        <v>13</v>
      </c>
      <c r="N10" s="49">
        <f>N8/N9</f>
        <v>41684</v>
      </c>
      <c r="O10" s="49">
        <f t="shared" ref="O10:Y10" si="10">O8/O9</f>
        <v>57524.951020408167</v>
      </c>
      <c r="P10" s="49">
        <f t="shared" si="10"/>
        <v>74680.468548837205</v>
      </c>
      <c r="Q10" s="49">
        <f t="shared" si="10"/>
        <v>103066.76004592208</v>
      </c>
      <c r="R10" s="49">
        <f t="shared" si="10"/>
        <v>113853.05610417454</v>
      </c>
      <c r="S10" s="49">
        <f t="shared" si="10"/>
        <v>118993.73654460299</v>
      </c>
      <c r="T10" s="49">
        <f t="shared" si="10"/>
        <v>120445.22518104079</v>
      </c>
      <c r="U10" s="49">
        <f t="shared" si="10"/>
        <v>128124.49401086842</v>
      </c>
      <c r="V10" s="49">
        <f t="shared" si="10"/>
        <v>141769.95916564416</v>
      </c>
      <c r="W10" s="49">
        <f t="shared" si="10"/>
        <v>161131.44957575758</v>
      </c>
      <c r="X10" s="49">
        <f t="shared" si="10"/>
        <v>161224.93177290322</v>
      </c>
      <c r="Y10" s="49">
        <f t="shared" si="10"/>
        <v>133767.82173714286</v>
      </c>
      <c r="Z10" s="49">
        <v>209149</v>
      </c>
      <c r="AA10" s="49"/>
      <c r="AB10" s="163"/>
      <c r="AC10" s="89" t="s">
        <v>13</v>
      </c>
      <c r="AD10" s="74">
        <f>AD8/AD9</f>
        <v>192746.68656716417</v>
      </c>
      <c r="AE10" s="74">
        <f t="shared" ref="AE10:AO10" si="11">AE8/AE9</f>
        <v>204663.38666666666</v>
      </c>
      <c r="AF10" s="74">
        <f t="shared" si="11"/>
        <v>188005.6091954023</v>
      </c>
      <c r="AG10" s="74">
        <f t="shared" si="11"/>
        <v>185734.1649484536</v>
      </c>
      <c r="AH10" s="74">
        <f t="shared" si="11"/>
        <v>175949.82710280374</v>
      </c>
      <c r="AI10" s="74">
        <f t="shared" si="11"/>
        <v>191581.30172413794</v>
      </c>
      <c r="AJ10" s="74">
        <f t="shared" si="11"/>
        <v>182145.67322834645</v>
      </c>
      <c r="AK10" s="74">
        <f t="shared" si="11"/>
        <v>180676.40579710144</v>
      </c>
      <c r="AL10" s="74">
        <f t="shared" si="11"/>
        <v>191982.92800000001</v>
      </c>
      <c r="AM10" s="74">
        <f t="shared" si="11"/>
        <v>245115.74489795917</v>
      </c>
      <c r="AN10" s="74">
        <f t="shared" si="11"/>
        <v>228460.74056603774</v>
      </c>
      <c r="AO10" s="74">
        <f t="shared" si="11"/>
        <v>187632.71428571429</v>
      </c>
      <c r="AP10" s="74">
        <f>AP8/AP9</f>
        <v>195015.8507751938</v>
      </c>
    </row>
    <row r="11" spans="1:42" ht="30" customHeight="1">
      <c r="A11" s="145" t="s">
        <v>71</v>
      </c>
      <c r="B11" s="146"/>
      <c r="C11" s="146"/>
      <c r="D11" s="146"/>
      <c r="E11" s="146"/>
      <c r="F11" s="146"/>
      <c r="G11" s="146"/>
      <c r="H11" s="146"/>
      <c r="I11" s="146"/>
      <c r="J11" s="147"/>
      <c r="K11" s="101"/>
      <c r="L11" s="141"/>
      <c r="M11" s="164" t="s">
        <v>71</v>
      </c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6"/>
      <c r="AA11" s="100"/>
      <c r="AB11" s="163"/>
      <c r="AC11" s="151" t="s">
        <v>71</v>
      </c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3"/>
    </row>
    <row r="12" spans="1:42" s="2" customFormat="1" ht="30" customHeight="1">
      <c r="A12" s="16" t="s">
        <v>31</v>
      </c>
      <c r="B12" s="12">
        <v>676259</v>
      </c>
      <c r="C12" s="12">
        <v>1813419</v>
      </c>
      <c r="D12" s="12">
        <v>1971516</v>
      </c>
      <c r="E12" s="12">
        <v>1976237</v>
      </c>
      <c r="F12" s="12">
        <v>1711944</v>
      </c>
      <c r="G12" s="12">
        <v>902415</v>
      </c>
      <c r="H12" s="12">
        <v>1125104</v>
      </c>
      <c r="I12" s="12">
        <v>2000813</v>
      </c>
      <c r="J12" s="17">
        <f>SUM(B12:I12)</f>
        <v>12177707</v>
      </c>
      <c r="K12" s="17"/>
      <c r="L12" s="141"/>
      <c r="M12" s="50" t="s">
        <v>31</v>
      </c>
      <c r="N12" s="47">
        <f>N13*N14</f>
        <v>1292204</v>
      </c>
      <c r="O12" s="47">
        <f t="shared" ref="O12:Y12" si="12">O13*O14</f>
        <v>2194662.6</v>
      </c>
      <c r="P12" s="47">
        <f t="shared" si="12"/>
        <v>2938653.2214000002</v>
      </c>
      <c r="Q12" s="47">
        <f t="shared" si="12"/>
        <v>3518346.5235360004</v>
      </c>
      <c r="R12" s="47">
        <f t="shared" si="12"/>
        <v>4689748.9543132801</v>
      </c>
      <c r="S12" s="47">
        <f t="shared" si="12"/>
        <v>6312508.6777091827</v>
      </c>
      <c r="T12" s="47">
        <f t="shared" si="12"/>
        <v>8480718.1800527722</v>
      </c>
      <c r="U12" s="47">
        <f t="shared" si="12"/>
        <v>9608653.6979997903</v>
      </c>
      <c r="V12" s="47">
        <f t="shared" si="12"/>
        <v>7955592</v>
      </c>
      <c r="W12" s="47">
        <f t="shared" si="12"/>
        <v>6342972</v>
      </c>
      <c r="X12" s="47">
        <f t="shared" si="12"/>
        <v>7579314</v>
      </c>
      <c r="Y12" s="47">
        <f t="shared" si="12"/>
        <v>10907224.140000001</v>
      </c>
      <c r="Z12" s="47">
        <f>SUM(N12:Y12)</f>
        <v>71820597.995011032</v>
      </c>
      <c r="AA12" s="93"/>
      <c r="AB12" s="163"/>
      <c r="AC12" s="72" t="s">
        <v>31</v>
      </c>
      <c r="AD12" s="73">
        <f>AD13*AD14</f>
        <v>6644040</v>
      </c>
      <c r="AE12" s="73">
        <f t="shared" ref="AE12:AO12" si="13">AE13*AE14</f>
        <v>7308444</v>
      </c>
      <c r="AF12" s="73">
        <f t="shared" si="13"/>
        <v>8415784</v>
      </c>
      <c r="AG12" s="73">
        <f t="shared" si="13"/>
        <v>9301656</v>
      </c>
      <c r="AH12" s="73">
        <f t="shared" si="13"/>
        <v>10242895</v>
      </c>
      <c r="AI12" s="73">
        <f t="shared" si="13"/>
        <v>11510730</v>
      </c>
      <c r="AJ12" s="73">
        <f t="shared" si="13"/>
        <v>12615295</v>
      </c>
      <c r="AK12" s="73">
        <f t="shared" si="13"/>
        <v>13661725</v>
      </c>
      <c r="AL12" s="73">
        <f t="shared" si="13"/>
        <v>12266485</v>
      </c>
      <c r="AM12" s="73">
        <f t="shared" si="13"/>
        <v>9185330</v>
      </c>
      <c r="AN12" s="73">
        <f t="shared" si="13"/>
        <v>10289895</v>
      </c>
      <c r="AO12" s="73">
        <f t="shared" si="13"/>
        <v>14940695</v>
      </c>
      <c r="AP12" s="73">
        <f>SUM(AD12:AO12)</f>
        <v>126382974</v>
      </c>
    </row>
    <row r="13" spans="1:42" ht="30" customHeight="1">
      <c r="A13" s="18" t="s">
        <v>12</v>
      </c>
      <c r="B13" s="14">
        <v>23</v>
      </c>
      <c r="C13" s="14">
        <v>66</v>
      </c>
      <c r="D13" s="14">
        <v>57</v>
      </c>
      <c r="E13" s="14">
        <v>56</v>
      </c>
      <c r="F13" s="14">
        <f>F9-F16</f>
        <v>45</v>
      </c>
      <c r="G13" s="14">
        <f>G9-G16</f>
        <v>26</v>
      </c>
      <c r="H13" s="14">
        <f>H9-H16</f>
        <v>31</v>
      </c>
      <c r="I13" s="15">
        <v>48</v>
      </c>
      <c r="J13" s="19">
        <f>SUM(B13:I13)</f>
        <v>352</v>
      </c>
      <c r="K13" s="19"/>
      <c r="L13" s="141"/>
      <c r="M13" s="51" t="s">
        <v>12</v>
      </c>
      <c r="N13" s="49">
        <v>31</v>
      </c>
      <c r="O13" s="52">
        <v>45</v>
      </c>
      <c r="P13" s="52">
        <f>O13*1.3</f>
        <v>58.5</v>
      </c>
      <c r="Q13" s="52">
        <v>68</v>
      </c>
      <c r="R13" s="52">
        <v>88</v>
      </c>
      <c r="S13" s="52">
        <v>115</v>
      </c>
      <c r="T13" s="52">
        <v>150</v>
      </c>
      <c r="U13" s="52">
        <f>T13*1.1</f>
        <v>165</v>
      </c>
      <c r="V13" s="52">
        <f>148</f>
        <v>148</v>
      </c>
      <c r="W13" s="52">
        <v>118</v>
      </c>
      <c r="X13" s="52">
        <v>141</v>
      </c>
      <c r="Y13" s="52">
        <v>197</v>
      </c>
      <c r="Z13" s="49">
        <f>SUM(N13:Y13)</f>
        <v>1324.5</v>
      </c>
      <c r="AA13" s="49"/>
      <c r="AB13" s="163"/>
      <c r="AC13" s="76" t="s">
        <v>12</v>
      </c>
      <c r="AD13" s="74">
        <v>120</v>
      </c>
      <c r="AE13" s="74">
        <v>132</v>
      </c>
      <c r="AF13" s="74">
        <v>152</v>
      </c>
      <c r="AG13" s="74">
        <v>168</v>
      </c>
      <c r="AH13" s="74">
        <v>185</v>
      </c>
      <c r="AI13" s="74">
        <v>198</v>
      </c>
      <c r="AJ13" s="74">
        <v>217</v>
      </c>
      <c r="AK13" s="74">
        <v>235</v>
      </c>
      <c r="AL13" s="74">
        <v>211</v>
      </c>
      <c r="AM13" s="74">
        <v>158</v>
      </c>
      <c r="AN13" s="74">
        <v>177</v>
      </c>
      <c r="AO13" s="74">
        <v>257</v>
      </c>
      <c r="AP13" s="74">
        <f t="shared" ref="AP13:AP23" si="14">SUM(AD13:AO13)</f>
        <v>2210</v>
      </c>
    </row>
    <row r="14" spans="1:42" ht="30" customHeight="1">
      <c r="A14" s="18" t="s">
        <v>13</v>
      </c>
      <c r="B14" s="14">
        <f t="shared" ref="B14:J14" si="15">B12/B13</f>
        <v>29402.565217391304</v>
      </c>
      <c r="C14" s="14">
        <f t="shared" si="15"/>
        <v>27476.045454545456</v>
      </c>
      <c r="D14" s="14">
        <f t="shared" si="15"/>
        <v>34588</v>
      </c>
      <c r="E14" s="14">
        <f t="shared" si="15"/>
        <v>35289.946428571428</v>
      </c>
      <c r="F14" s="14">
        <f t="shared" si="15"/>
        <v>38043.199999999997</v>
      </c>
      <c r="G14" s="14">
        <f t="shared" si="15"/>
        <v>34708.269230769234</v>
      </c>
      <c r="H14" s="14">
        <f t="shared" si="15"/>
        <v>36293.677419354841</v>
      </c>
      <c r="I14" s="15">
        <f t="shared" si="15"/>
        <v>41683.604166666664</v>
      </c>
      <c r="J14" s="19">
        <f t="shared" si="15"/>
        <v>34595.758522727272</v>
      </c>
      <c r="K14" s="19"/>
      <c r="L14" s="141"/>
      <c r="M14" s="51" t="s">
        <v>13</v>
      </c>
      <c r="N14" s="49">
        <v>41684</v>
      </c>
      <c r="O14" s="49">
        <f>N14*1.17</f>
        <v>48770.28</v>
      </c>
      <c r="P14" s="49">
        <f>O14*1.03</f>
        <v>50233.388400000003</v>
      </c>
      <c r="Q14" s="49">
        <f t="shared" ref="Q14:Y14" si="16">P14*1.03</f>
        <v>51740.390052000002</v>
      </c>
      <c r="R14" s="49">
        <f t="shared" si="16"/>
        <v>53292.601753560004</v>
      </c>
      <c r="S14" s="49">
        <f t="shared" si="16"/>
        <v>54891.379806166806</v>
      </c>
      <c r="T14" s="49">
        <f>S14*1.03</f>
        <v>56538.121200351809</v>
      </c>
      <c r="U14" s="49">
        <f t="shared" si="16"/>
        <v>58234.264836362367</v>
      </c>
      <c r="V14" s="49">
        <v>53754</v>
      </c>
      <c r="W14" s="49">
        <v>53754</v>
      </c>
      <c r="X14" s="49">
        <v>53754</v>
      </c>
      <c r="Y14" s="49">
        <f t="shared" si="16"/>
        <v>55366.62</v>
      </c>
      <c r="Z14" s="49">
        <f>Z12/Z13</f>
        <v>54224.687047950945</v>
      </c>
      <c r="AA14" s="49"/>
      <c r="AB14" s="163"/>
      <c r="AC14" s="76" t="s">
        <v>13</v>
      </c>
      <c r="AD14" s="74">
        <v>55367</v>
      </c>
      <c r="AE14" s="74">
        <v>55367</v>
      </c>
      <c r="AF14" s="74">
        <v>55367</v>
      </c>
      <c r="AG14" s="74">
        <v>55367</v>
      </c>
      <c r="AH14" s="74">
        <v>55367</v>
      </c>
      <c r="AI14" s="74">
        <v>58135</v>
      </c>
      <c r="AJ14" s="74">
        <v>58135</v>
      </c>
      <c r="AK14" s="74">
        <v>58135</v>
      </c>
      <c r="AL14" s="74">
        <v>58135</v>
      </c>
      <c r="AM14" s="74">
        <v>58135</v>
      </c>
      <c r="AN14" s="74">
        <v>58135</v>
      </c>
      <c r="AO14" s="74">
        <v>58135</v>
      </c>
      <c r="AP14" s="74">
        <f t="shared" si="14"/>
        <v>683780</v>
      </c>
    </row>
    <row r="15" spans="1:42" s="2" customFormat="1" ht="30" customHeight="1">
      <c r="A15" s="16" t="s">
        <v>32</v>
      </c>
      <c r="B15" s="12">
        <v>89800</v>
      </c>
      <c r="C15" s="12">
        <v>795340</v>
      </c>
      <c r="D15" s="12">
        <f>834660+135000</f>
        <v>969660</v>
      </c>
      <c r="E15" s="12">
        <v>1177400</v>
      </c>
      <c r="F15" s="12">
        <v>250500</v>
      </c>
      <c r="G15" s="12">
        <v>46620</v>
      </c>
      <c r="H15" s="12">
        <v>48000</v>
      </c>
      <c r="I15" s="12">
        <v>55000</v>
      </c>
      <c r="J15" s="17">
        <f>SUM(B15:I15)</f>
        <v>3432320</v>
      </c>
      <c r="K15" s="17"/>
      <c r="L15" s="141"/>
      <c r="M15" s="50" t="s">
        <v>32</v>
      </c>
      <c r="N15" s="46">
        <v>0</v>
      </c>
      <c r="O15" s="88">
        <f>O16*O17</f>
        <v>624060</v>
      </c>
      <c r="P15" s="88">
        <f t="shared" ref="P15:Y15" si="17">P16*P17</f>
        <v>780075</v>
      </c>
      <c r="Q15" s="88">
        <f t="shared" si="17"/>
        <v>1123308</v>
      </c>
      <c r="R15" s="88">
        <f t="shared" si="17"/>
        <v>1310526</v>
      </c>
      <c r="S15" s="88">
        <f t="shared" si="17"/>
        <v>1647512</v>
      </c>
      <c r="T15" s="88">
        <f t="shared" si="17"/>
        <v>2265320</v>
      </c>
      <c r="U15" s="88">
        <f t="shared" si="17"/>
        <v>2718384</v>
      </c>
      <c r="V15" s="88">
        <f t="shared" si="17"/>
        <v>1585724</v>
      </c>
      <c r="W15" s="88">
        <f t="shared" si="17"/>
        <v>1359192</v>
      </c>
      <c r="X15" s="88">
        <f t="shared" si="17"/>
        <v>1132660</v>
      </c>
      <c r="Y15" s="88">
        <f t="shared" si="17"/>
        <v>906128</v>
      </c>
      <c r="Z15" s="47">
        <f>SUM(N15:Y15)</f>
        <v>15452889</v>
      </c>
      <c r="AA15" s="93"/>
      <c r="AB15" s="163"/>
      <c r="AC15" s="72" t="s">
        <v>32</v>
      </c>
      <c r="AD15" s="73">
        <f>AD16*AD17</f>
        <v>906128</v>
      </c>
      <c r="AE15" s="73">
        <f t="shared" ref="AE15:AO15" si="18">AE16*AE17</f>
        <v>1359192</v>
      </c>
      <c r="AF15" s="73">
        <f t="shared" si="18"/>
        <v>2265320</v>
      </c>
      <c r="AG15" s="73">
        <f t="shared" si="18"/>
        <v>2944916</v>
      </c>
      <c r="AH15" s="73">
        <f t="shared" si="18"/>
        <v>3624512</v>
      </c>
      <c r="AI15" s="73">
        <f t="shared" si="18"/>
        <v>4519302</v>
      </c>
      <c r="AJ15" s="73">
        <f t="shared" si="18"/>
        <v>5232876</v>
      </c>
      <c r="AK15" s="73">
        <f t="shared" si="18"/>
        <v>5946450</v>
      </c>
      <c r="AL15" s="73">
        <f t="shared" si="18"/>
        <v>5470734</v>
      </c>
      <c r="AM15" s="73">
        <f t="shared" si="18"/>
        <v>4757160</v>
      </c>
      <c r="AN15" s="73">
        <f t="shared" si="18"/>
        <v>4043586</v>
      </c>
      <c r="AO15" s="73">
        <f t="shared" si="18"/>
        <v>4281444</v>
      </c>
      <c r="AP15" s="73">
        <f t="shared" si="14"/>
        <v>45351620</v>
      </c>
    </row>
    <row r="16" spans="1:42" ht="30" customHeight="1">
      <c r="A16" s="18" t="s">
        <v>12</v>
      </c>
      <c r="B16" s="14">
        <v>2</v>
      </c>
      <c r="C16" s="14">
        <v>4</v>
      </c>
      <c r="D16" s="14">
        <v>4</v>
      </c>
      <c r="E16" s="14">
        <v>5</v>
      </c>
      <c r="F16" s="14">
        <v>3</v>
      </c>
      <c r="G16" s="14">
        <v>1</v>
      </c>
      <c r="H16" s="14">
        <v>1</v>
      </c>
      <c r="I16" s="15">
        <v>2</v>
      </c>
      <c r="J16" s="19">
        <f>SUM(B16:I16)</f>
        <v>22</v>
      </c>
      <c r="K16" s="19"/>
      <c r="L16" s="141"/>
      <c r="M16" s="51" t="s">
        <v>12</v>
      </c>
      <c r="N16" s="45">
        <v>0</v>
      </c>
      <c r="O16" s="49">
        <v>4</v>
      </c>
      <c r="P16" s="49">
        <v>5</v>
      </c>
      <c r="Q16" s="49">
        <v>6</v>
      </c>
      <c r="R16" s="49">
        <v>7</v>
      </c>
      <c r="S16" s="49">
        <v>8</v>
      </c>
      <c r="T16" s="49">
        <v>10</v>
      </c>
      <c r="U16" s="49">
        <v>12</v>
      </c>
      <c r="V16" s="49">
        <v>7</v>
      </c>
      <c r="W16" s="49">
        <v>6</v>
      </c>
      <c r="X16" s="49">
        <v>5</v>
      </c>
      <c r="Y16" s="49">
        <v>4</v>
      </c>
      <c r="Z16" s="49">
        <f>SUM(N16:Y16)</f>
        <v>74</v>
      </c>
      <c r="AA16" s="49"/>
      <c r="AB16" s="163"/>
      <c r="AC16" s="76" t="s">
        <v>12</v>
      </c>
      <c r="AD16" s="74">
        <v>4</v>
      </c>
      <c r="AE16" s="74">
        <v>6</v>
      </c>
      <c r="AF16" s="74">
        <v>10</v>
      </c>
      <c r="AG16" s="74">
        <v>13</v>
      </c>
      <c r="AH16" s="74">
        <v>16</v>
      </c>
      <c r="AI16" s="74">
        <v>19</v>
      </c>
      <c r="AJ16" s="74">
        <v>22</v>
      </c>
      <c r="AK16" s="74">
        <v>25</v>
      </c>
      <c r="AL16" s="74">
        <v>23</v>
      </c>
      <c r="AM16" s="74">
        <v>20</v>
      </c>
      <c r="AN16" s="74">
        <v>17</v>
      </c>
      <c r="AO16" s="74">
        <v>18</v>
      </c>
      <c r="AP16" s="74">
        <f t="shared" si="14"/>
        <v>193</v>
      </c>
    </row>
    <row r="17" spans="1:42" ht="30" customHeight="1">
      <c r="A17" s="18" t="s">
        <v>13</v>
      </c>
      <c r="B17" s="14">
        <f t="shared" ref="B17:J17" si="19">B15/B16</f>
        <v>44900</v>
      </c>
      <c r="C17" s="14">
        <f t="shared" si="19"/>
        <v>198835</v>
      </c>
      <c r="D17" s="14">
        <f t="shared" si="19"/>
        <v>242415</v>
      </c>
      <c r="E17" s="14">
        <f t="shared" si="19"/>
        <v>235480</v>
      </c>
      <c r="F17" s="14">
        <f t="shared" si="19"/>
        <v>83500</v>
      </c>
      <c r="G17" s="14">
        <f t="shared" si="19"/>
        <v>46620</v>
      </c>
      <c r="H17" s="14">
        <f t="shared" si="19"/>
        <v>48000</v>
      </c>
      <c r="I17" s="15">
        <f t="shared" si="19"/>
        <v>27500</v>
      </c>
      <c r="J17" s="19">
        <f t="shared" si="19"/>
        <v>156014.54545454544</v>
      </c>
      <c r="K17" s="19"/>
      <c r="L17" s="141"/>
      <c r="M17" s="51" t="s">
        <v>13</v>
      </c>
      <c r="N17" s="45">
        <v>0</v>
      </c>
      <c r="O17" s="49">
        <v>156015</v>
      </c>
      <c r="P17" s="49">
        <v>156015</v>
      </c>
      <c r="Q17" s="49">
        <v>187218</v>
      </c>
      <c r="R17" s="49">
        <f>Q17</f>
        <v>187218</v>
      </c>
      <c r="S17" s="49">
        <v>205939</v>
      </c>
      <c r="T17" s="49">
        <v>226532</v>
      </c>
      <c r="U17" s="49">
        <v>226532</v>
      </c>
      <c r="V17" s="49">
        <v>226532</v>
      </c>
      <c r="W17" s="49">
        <v>226532</v>
      </c>
      <c r="X17" s="49">
        <v>226532</v>
      </c>
      <c r="Y17" s="49">
        <v>226532</v>
      </c>
      <c r="Z17" s="49">
        <f>Z15/Z16</f>
        <v>208822.82432432432</v>
      </c>
      <c r="AA17" s="49"/>
      <c r="AB17" s="163"/>
      <c r="AC17" s="76" t="s">
        <v>13</v>
      </c>
      <c r="AD17" s="74">
        <v>226532</v>
      </c>
      <c r="AE17" s="74">
        <v>226532</v>
      </c>
      <c r="AF17" s="74">
        <v>226532</v>
      </c>
      <c r="AG17" s="74">
        <v>226532</v>
      </c>
      <c r="AH17" s="74">
        <v>226532</v>
      </c>
      <c r="AI17" s="74">
        <v>237858</v>
      </c>
      <c r="AJ17" s="74">
        <v>237858</v>
      </c>
      <c r="AK17" s="74">
        <v>237858</v>
      </c>
      <c r="AL17" s="74">
        <v>237858</v>
      </c>
      <c r="AM17" s="74">
        <v>237858</v>
      </c>
      <c r="AN17" s="74">
        <v>237858</v>
      </c>
      <c r="AO17" s="74">
        <v>237858</v>
      </c>
      <c r="AP17" s="74">
        <f t="shared" si="14"/>
        <v>2797666</v>
      </c>
    </row>
    <row r="18" spans="1:42" s="2" customFormat="1" ht="30" customHeight="1">
      <c r="A18" s="16" t="s">
        <v>33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12">
        <v>0</v>
      </c>
      <c r="J18" s="17">
        <v>0</v>
      </c>
      <c r="K18" s="17"/>
      <c r="L18" s="141"/>
      <c r="M18" s="50" t="s">
        <v>33</v>
      </c>
      <c r="N18" s="46">
        <v>0</v>
      </c>
      <c r="O18" s="47">
        <v>0</v>
      </c>
      <c r="P18" s="47">
        <f>P19*P20</f>
        <v>1098162</v>
      </c>
      <c r="Q18" s="47">
        <f t="shared" ref="Q18:Y18" si="20">Q19*Q20</f>
        <v>3294486</v>
      </c>
      <c r="R18" s="47">
        <f t="shared" si="20"/>
        <v>5271177.5999999996</v>
      </c>
      <c r="S18" s="47">
        <f t="shared" si="20"/>
        <v>5271177.5999999996</v>
      </c>
      <c r="T18" s="47">
        <f t="shared" si="20"/>
        <v>7247869.2000000002</v>
      </c>
      <c r="U18" s="47">
        <f t="shared" si="20"/>
        <v>7247869.2000000002</v>
      </c>
      <c r="V18" s="47">
        <f t="shared" si="20"/>
        <v>9567187.3440000005</v>
      </c>
      <c r="W18" s="47">
        <f t="shared" si="20"/>
        <v>9567187.3440000005</v>
      </c>
      <c r="X18" s="47">
        <f t="shared" si="20"/>
        <v>12277890.424800003</v>
      </c>
      <c r="Y18" s="47">
        <f t="shared" si="20"/>
        <v>12277890.424800003</v>
      </c>
      <c r="Z18" s="47">
        <f>SUM(N18:Y18)</f>
        <v>73120897.137600005</v>
      </c>
      <c r="AA18" s="93"/>
      <c r="AB18" s="163"/>
      <c r="AC18" s="72" t="s">
        <v>33</v>
      </c>
      <c r="AD18" s="73">
        <f>AD19*AD20</f>
        <v>12277888</v>
      </c>
      <c r="AE18" s="73">
        <f t="shared" ref="AE18:AO18" si="21">AE19*AE20</f>
        <v>14031872</v>
      </c>
      <c r="AF18" s="73">
        <f t="shared" si="21"/>
        <v>14031872</v>
      </c>
      <c r="AG18" s="73">
        <f t="shared" si="21"/>
        <v>15785856</v>
      </c>
      <c r="AH18" s="73">
        <f t="shared" si="21"/>
        <v>15785856</v>
      </c>
      <c r="AI18" s="73">
        <f t="shared" si="21"/>
        <v>18416830</v>
      </c>
      <c r="AJ18" s="73">
        <f t="shared" si="21"/>
        <v>18416830</v>
      </c>
      <c r="AK18" s="73">
        <f t="shared" si="21"/>
        <v>20258513</v>
      </c>
      <c r="AL18" s="73">
        <f t="shared" si="21"/>
        <v>20258513</v>
      </c>
      <c r="AM18" s="73">
        <f t="shared" si="21"/>
        <v>22100196</v>
      </c>
      <c r="AN18" s="73">
        <f t="shared" si="21"/>
        <v>22100196</v>
      </c>
      <c r="AO18" s="73">
        <f t="shared" si="21"/>
        <v>23941879</v>
      </c>
      <c r="AP18" s="73">
        <f t="shared" si="14"/>
        <v>217406301</v>
      </c>
    </row>
    <row r="19" spans="1:42" ht="30" customHeight="1">
      <c r="A19" s="18" t="s">
        <v>12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>
        <v>0</v>
      </c>
      <c r="J19" s="15">
        <v>0</v>
      </c>
      <c r="K19" s="15"/>
      <c r="L19" s="141"/>
      <c r="M19" s="51" t="s">
        <v>12</v>
      </c>
      <c r="N19" s="45">
        <v>0</v>
      </c>
      <c r="O19" s="49">
        <v>0</v>
      </c>
      <c r="P19" s="49">
        <v>1</v>
      </c>
      <c r="Q19" s="49">
        <v>3</v>
      </c>
      <c r="R19" s="49">
        <v>4</v>
      </c>
      <c r="S19" s="49">
        <v>4</v>
      </c>
      <c r="T19" s="49">
        <v>5</v>
      </c>
      <c r="U19" s="49">
        <v>5</v>
      </c>
      <c r="V19" s="49">
        <v>6</v>
      </c>
      <c r="W19" s="49">
        <v>6</v>
      </c>
      <c r="X19" s="49">
        <v>7</v>
      </c>
      <c r="Y19" s="49">
        <v>7</v>
      </c>
      <c r="Z19" s="49">
        <f>SUM(N19:Y19)</f>
        <v>48</v>
      </c>
      <c r="AA19" s="49"/>
      <c r="AB19" s="163"/>
      <c r="AC19" s="76" t="s">
        <v>12</v>
      </c>
      <c r="AD19" s="74">
        <v>7</v>
      </c>
      <c r="AE19" s="74">
        <v>8</v>
      </c>
      <c r="AF19" s="74">
        <v>8</v>
      </c>
      <c r="AG19" s="74">
        <v>9</v>
      </c>
      <c r="AH19" s="74">
        <v>9</v>
      </c>
      <c r="AI19" s="74">
        <v>10</v>
      </c>
      <c r="AJ19" s="74">
        <v>10</v>
      </c>
      <c r="AK19" s="74">
        <v>11</v>
      </c>
      <c r="AL19" s="74">
        <v>11</v>
      </c>
      <c r="AM19" s="74">
        <v>12</v>
      </c>
      <c r="AN19" s="74">
        <v>12</v>
      </c>
      <c r="AO19" s="74">
        <v>13</v>
      </c>
      <c r="AP19" s="74">
        <f t="shared" si="14"/>
        <v>120</v>
      </c>
    </row>
    <row r="20" spans="1:42" ht="30" customHeight="1">
      <c r="A20" s="18" t="s">
        <v>13</v>
      </c>
      <c r="B20" s="14" t="s">
        <v>34</v>
      </c>
      <c r="C20" s="14" t="s">
        <v>34</v>
      </c>
      <c r="D20" s="14" t="s">
        <v>34</v>
      </c>
      <c r="E20" s="14" t="s">
        <v>34</v>
      </c>
      <c r="F20" s="14" t="s">
        <v>34</v>
      </c>
      <c r="G20" s="14" t="s">
        <v>34</v>
      </c>
      <c r="H20" s="14" t="s">
        <v>34</v>
      </c>
      <c r="I20" s="15" t="s">
        <v>34</v>
      </c>
      <c r="J20" s="15" t="s">
        <v>34</v>
      </c>
      <c r="K20" s="15"/>
      <c r="L20" s="141"/>
      <c r="M20" s="51" t="s">
        <v>13</v>
      </c>
      <c r="N20" s="45">
        <v>0</v>
      </c>
      <c r="O20" s="49">
        <v>0</v>
      </c>
      <c r="P20" s="49">
        <v>1098162</v>
      </c>
      <c r="Q20" s="49">
        <f t="shared" ref="Q20:Y20" si="22">P20</f>
        <v>1098162</v>
      </c>
      <c r="R20" s="49">
        <f>Q20*1.2</f>
        <v>1317794.3999999999</v>
      </c>
      <c r="S20" s="49">
        <f t="shared" si="22"/>
        <v>1317794.3999999999</v>
      </c>
      <c r="T20" s="49">
        <f>S20*1.1</f>
        <v>1449573.84</v>
      </c>
      <c r="U20" s="49">
        <f t="shared" si="22"/>
        <v>1449573.84</v>
      </c>
      <c r="V20" s="49">
        <f>U20*1.1</f>
        <v>1594531.2240000002</v>
      </c>
      <c r="W20" s="49">
        <f t="shared" si="22"/>
        <v>1594531.2240000002</v>
      </c>
      <c r="X20" s="49">
        <f>W20*1.1</f>
        <v>1753984.3464000004</v>
      </c>
      <c r="Y20" s="49">
        <f t="shared" si="22"/>
        <v>1753984.3464000004</v>
      </c>
      <c r="Z20" s="49">
        <f>Z18/Z19</f>
        <v>1523352.0237</v>
      </c>
      <c r="AA20" s="49"/>
      <c r="AB20" s="163"/>
      <c r="AC20" s="76" t="s">
        <v>13</v>
      </c>
      <c r="AD20" s="74">
        <v>1753984</v>
      </c>
      <c r="AE20" s="74">
        <v>1753984</v>
      </c>
      <c r="AF20" s="74">
        <v>1753984</v>
      </c>
      <c r="AG20" s="74">
        <v>1753984</v>
      </c>
      <c r="AH20" s="74">
        <v>1753984</v>
      </c>
      <c r="AI20" s="74">
        <v>1841683</v>
      </c>
      <c r="AJ20" s="74">
        <v>1841683</v>
      </c>
      <c r="AK20" s="74">
        <v>1841683</v>
      </c>
      <c r="AL20" s="74">
        <v>1841683</v>
      </c>
      <c r="AM20" s="74">
        <v>1841683</v>
      </c>
      <c r="AN20" s="74">
        <v>1841683</v>
      </c>
      <c r="AO20" s="74">
        <v>1841683</v>
      </c>
      <c r="AP20" s="74">
        <f t="shared" si="14"/>
        <v>21661701</v>
      </c>
    </row>
    <row r="21" spans="1:42" s="2" customFormat="1" ht="30" customHeight="1">
      <c r="A21" s="16" t="s">
        <v>48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/>
      <c r="L21" s="141"/>
      <c r="M21" s="50" t="s">
        <v>48</v>
      </c>
      <c r="N21" s="46">
        <v>0</v>
      </c>
      <c r="O21" s="53">
        <v>0</v>
      </c>
      <c r="P21" s="46">
        <v>0</v>
      </c>
      <c r="Q21" s="53">
        <v>0</v>
      </c>
      <c r="R21" s="46">
        <v>0</v>
      </c>
      <c r="S21" s="54">
        <v>2000000</v>
      </c>
      <c r="T21" s="54">
        <v>2000000</v>
      </c>
      <c r="U21" s="54">
        <v>4000000</v>
      </c>
      <c r="V21" s="54">
        <v>4000000</v>
      </c>
      <c r="W21" s="54">
        <v>4000000</v>
      </c>
      <c r="X21" s="54">
        <v>4000000</v>
      </c>
      <c r="Y21" s="54">
        <v>4000000</v>
      </c>
      <c r="Z21" s="47">
        <f>SUM(N21:Y21)</f>
        <v>24000000</v>
      </c>
      <c r="AA21" s="93"/>
      <c r="AB21" s="163"/>
      <c r="AC21" s="72" t="s">
        <v>48</v>
      </c>
      <c r="AD21" s="73">
        <f>AD22*AD23</f>
        <v>6000000</v>
      </c>
      <c r="AE21" s="73">
        <f t="shared" ref="AE21:AO21" si="23">AE22*AE23</f>
        <v>8000000</v>
      </c>
      <c r="AF21" s="73">
        <f t="shared" si="23"/>
        <v>8000000</v>
      </c>
      <c r="AG21" s="73">
        <f t="shared" si="23"/>
        <v>8000000</v>
      </c>
      <c r="AH21" s="73">
        <f t="shared" si="23"/>
        <v>8000000</v>
      </c>
      <c r="AI21" s="73">
        <f t="shared" si="23"/>
        <v>10000000</v>
      </c>
      <c r="AJ21" s="73">
        <f t="shared" si="23"/>
        <v>10000000</v>
      </c>
      <c r="AK21" s="73">
        <f t="shared" si="23"/>
        <v>10000000</v>
      </c>
      <c r="AL21" s="73">
        <f t="shared" si="23"/>
        <v>10000000</v>
      </c>
      <c r="AM21" s="73">
        <f t="shared" si="23"/>
        <v>12000000</v>
      </c>
      <c r="AN21" s="73">
        <f t="shared" si="23"/>
        <v>12000000</v>
      </c>
      <c r="AO21" s="73">
        <f t="shared" si="23"/>
        <v>12000000</v>
      </c>
      <c r="AP21" s="73">
        <f t="shared" si="14"/>
        <v>114000000</v>
      </c>
    </row>
    <row r="22" spans="1:42" ht="30" customHeight="1">
      <c r="A22" s="18" t="s">
        <v>12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/>
      <c r="L22" s="141"/>
      <c r="M22" s="51" t="s">
        <v>12</v>
      </c>
      <c r="N22" s="45">
        <v>0</v>
      </c>
      <c r="O22" s="55">
        <v>0</v>
      </c>
      <c r="P22" s="45">
        <v>0</v>
      </c>
      <c r="Q22" s="55">
        <v>0</v>
      </c>
      <c r="R22" s="45">
        <v>0</v>
      </c>
      <c r="S22" s="55">
        <v>1</v>
      </c>
      <c r="T22" s="55">
        <v>1</v>
      </c>
      <c r="U22" s="55">
        <v>2</v>
      </c>
      <c r="V22" s="55">
        <v>2</v>
      </c>
      <c r="W22" s="55">
        <v>2</v>
      </c>
      <c r="X22" s="55">
        <v>2</v>
      </c>
      <c r="Y22" s="55">
        <v>2</v>
      </c>
      <c r="Z22" s="49">
        <f>SUM(N22:Y22)</f>
        <v>12</v>
      </c>
      <c r="AA22" s="49"/>
      <c r="AB22" s="163"/>
      <c r="AC22" s="76" t="s">
        <v>12</v>
      </c>
      <c r="AD22" s="74">
        <v>3</v>
      </c>
      <c r="AE22" s="74">
        <v>4</v>
      </c>
      <c r="AF22" s="74">
        <v>4</v>
      </c>
      <c r="AG22" s="74">
        <v>4</v>
      </c>
      <c r="AH22" s="74">
        <v>4</v>
      </c>
      <c r="AI22" s="74">
        <v>5</v>
      </c>
      <c r="AJ22" s="74">
        <v>5</v>
      </c>
      <c r="AK22" s="74">
        <v>5</v>
      </c>
      <c r="AL22" s="74">
        <v>5</v>
      </c>
      <c r="AM22" s="74">
        <v>6</v>
      </c>
      <c r="AN22" s="74">
        <v>6</v>
      </c>
      <c r="AO22" s="74">
        <v>6</v>
      </c>
      <c r="AP22" s="74">
        <f t="shared" si="14"/>
        <v>57</v>
      </c>
    </row>
    <row r="23" spans="1:42" ht="30" customHeight="1">
      <c r="A23" s="18" t="s">
        <v>13</v>
      </c>
      <c r="B23" s="14" t="s">
        <v>34</v>
      </c>
      <c r="C23" s="14" t="s">
        <v>34</v>
      </c>
      <c r="D23" s="14" t="s">
        <v>34</v>
      </c>
      <c r="E23" s="14" t="s">
        <v>34</v>
      </c>
      <c r="F23" s="14" t="s">
        <v>34</v>
      </c>
      <c r="G23" s="14" t="s">
        <v>34</v>
      </c>
      <c r="H23" s="14" t="s">
        <v>34</v>
      </c>
      <c r="I23" s="15" t="s">
        <v>34</v>
      </c>
      <c r="J23" s="15" t="s">
        <v>34</v>
      </c>
      <c r="K23" s="15"/>
      <c r="L23" s="141"/>
      <c r="M23" s="51" t="s">
        <v>13</v>
      </c>
      <c r="N23" s="49" t="s">
        <v>34</v>
      </c>
      <c r="O23" s="52" t="s">
        <v>34</v>
      </c>
      <c r="P23" s="49" t="s">
        <v>34</v>
      </c>
      <c r="Q23" s="52" t="s">
        <v>34</v>
      </c>
      <c r="R23" s="49" t="s">
        <v>34</v>
      </c>
      <c r="S23" s="49">
        <f>S21/S22</f>
        <v>2000000</v>
      </c>
      <c r="T23" s="49">
        <f t="shared" ref="T23:Y23" si="24">T21/T22</f>
        <v>2000000</v>
      </c>
      <c r="U23" s="49">
        <f t="shared" si="24"/>
        <v>2000000</v>
      </c>
      <c r="V23" s="49">
        <f t="shared" si="24"/>
        <v>2000000</v>
      </c>
      <c r="W23" s="49">
        <f t="shared" si="24"/>
        <v>2000000</v>
      </c>
      <c r="X23" s="49">
        <f t="shared" si="24"/>
        <v>2000000</v>
      </c>
      <c r="Y23" s="49">
        <f t="shared" si="24"/>
        <v>2000000</v>
      </c>
      <c r="Z23" s="49">
        <f>Z21/Z22</f>
        <v>2000000</v>
      </c>
      <c r="AA23" s="49"/>
      <c r="AB23" s="163"/>
      <c r="AC23" s="76" t="s">
        <v>13</v>
      </c>
      <c r="AD23" s="74">
        <v>2000000</v>
      </c>
      <c r="AE23" s="74">
        <v>2000000</v>
      </c>
      <c r="AF23" s="74">
        <v>2000000</v>
      </c>
      <c r="AG23" s="74">
        <v>2000000</v>
      </c>
      <c r="AH23" s="74">
        <v>2000000</v>
      </c>
      <c r="AI23" s="74">
        <v>2000000</v>
      </c>
      <c r="AJ23" s="74">
        <v>2000000</v>
      </c>
      <c r="AK23" s="74">
        <v>2000000</v>
      </c>
      <c r="AL23" s="74">
        <v>2000000</v>
      </c>
      <c r="AM23" s="74">
        <v>2000000</v>
      </c>
      <c r="AN23" s="74">
        <v>2000000</v>
      </c>
      <c r="AO23" s="74">
        <v>2000000</v>
      </c>
      <c r="AP23" s="74">
        <f t="shared" si="14"/>
        <v>24000000</v>
      </c>
    </row>
    <row r="24" spans="1:42" ht="30" customHeight="1">
      <c r="A24" s="125" t="s">
        <v>80</v>
      </c>
      <c r="B24" s="126"/>
      <c r="C24" s="126"/>
      <c r="D24" s="126"/>
      <c r="E24" s="126"/>
      <c r="F24" s="126"/>
      <c r="G24" s="126"/>
      <c r="H24" s="126"/>
      <c r="I24" s="126"/>
      <c r="J24" s="127"/>
      <c r="K24" s="103"/>
      <c r="L24" s="141"/>
      <c r="M24" s="110"/>
      <c r="N24" s="111"/>
      <c r="O24" s="112"/>
      <c r="P24" s="111"/>
      <c r="Q24" s="112"/>
      <c r="R24" s="111"/>
      <c r="S24" s="111"/>
      <c r="T24" s="111"/>
      <c r="U24" s="111"/>
      <c r="V24" s="111"/>
      <c r="W24" s="111"/>
      <c r="X24" s="111"/>
      <c r="Y24" s="111"/>
      <c r="Z24" s="113"/>
      <c r="AA24" s="113"/>
      <c r="AB24" s="163"/>
      <c r="AC24" s="114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6"/>
    </row>
    <row r="25" spans="1:42" ht="30" customHeight="1">
      <c r="A25" s="11" t="s">
        <v>79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12">
        <v>0</v>
      </c>
      <c r="J25" s="17">
        <v>0</v>
      </c>
      <c r="K25" s="17"/>
      <c r="L25" s="141"/>
      <c r="M25" s="46" t="s">
        <v>79</v>
      </c>
      <c r="N25" s="46">
        <v>0</v>
      </c>
      <c r="O25" s="93">
        <f>O26*O27</f>
        <v>4088964</v>
      </c>
      <c r="P25" s="93">
        <f>P26*P27</f>
        <v>4088964</v>
      </c>
      <c r="Q25" s="93">
        <f t="shared" ref="Q25:Y25" si="25">Q26*Q27</f>
        <v>6133446</v>
      </c>
      <c r="R25" s="93">
        <f t="shared" si="25"/>
        <v>7360135.1999999993</v>
      </c>
      <c r="S25" s="93">
        <f t="shared" si="25"/>
        <v>7360135.1999999993</v>
      </c>
      <c r="T25" s="93">
        <f t="shared" si="25"/>
        <v>9445506.8399999999</v>
      </c>
      <c r="U25" s="93">
        <f t="shared" si="25"/>
        <v>11874351.456000002</v>
      </c>
      <c r="V25" s="93">
        <f t="shared" si="25"/>
        <v>14026577.657400005</v>
      </c>
      <c r="W25" s="93">
        <f t="shared" si="25"/>
        <v>14026577.657400005</v>
      </c>
      <c r="X25" s="93">
        <f t="shared" si="25"/>
        <v>15585086.286000004</v>
      </c>
      <c r="Y25" s="93">
        <f t="shared" si="25"/>
        <v>15585086.286000004</v>
      </c>
      <c r="Z25" s="93">
        <f>SUM(N25:Y25)</f>
        <v>109574830.5828</v>
      </c>
      <c r="AA25" s="93"/>
      <c r="AB25" s="163"/>
      <c r="AC25" s="72" t="s">
        <v>79</v>
      </c>
      <c r="AD25" s="73">
        <f>AD26*AD27</f>
        <v>23377620</v>
      </c>
      <c r="AE25" s="73">
        <f t="shared" ref="AE25:AO25" si="26">AE26*AE27</f>
        <v>26494636</v>
      </c>
      <c r="AF25" s="73">
        <f t="shared" si="26"/>
        <v>29611652</v>
      </c>
      <c r="AG25" s="73">
        <f t="shared" si="26"/>
        <v>32728668</v>
      </c>
      <c r="AH25" s="73">
        <f t="shared" si="26"/>
        <v>35845684</v>
      </c>
      <c r="AI25" s="73">
        <f t="shared" si="26"/>
        <v>40910825</v>
      </c>
      <c r="AJ25" s="73">
        <f t="shared" si="26"/>
        <v>44183691</v>
      </c>
      <c r="AK25" s="73">
        <f t="shared" si="26"/>
        <v>47456557</v>
      </c>
      <c r="AL25" s="73">
        <f t="shared" si="26"/>
        <v>50729423</v>
      </c>
      <c r="AM25" s="73">
        <f t="shared" si="26"/>
        <v>54002289</v>
      </c>
      <c r="AN25" s="73">
        <f t="shared" si="26"/>
        <v>57275155</v>
      </c>
      <c r="AO25" s="73">
        <f t="shared" si="26"/>
        <v>58911588</v>
      </c>
      <c r="AP25" s="73">
        <f t="shared" ref="AP25:AP27" si="27">SUM(AD25:AO25)</f>
        <v>501527788</v>
      </c>
    </row>
    <row r="26" spans="1:42" ht="30" customHeight="1">
      <c r="A26" s="18" t="s">
        <v>12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>
        <v>0</v>
      </c>
      <c r="J26" s="15">
        <v>0</v>
      </c>
      <c r="K26" s="15"/>
      <c r="L26" s="141"/>
      <c r="M26" s="51" t="s">
        <v>12</v>
      </c>
      <c r="N26" s="45">
        <v>0</v>
      </c>
      <c r="O26" s="49">
        <v>4</v>
      </c>
      <c r="P26" s="49">
        <v>4</v>
      </c>
      <c r="Q26" s="49">
        <v>5</v>
      </c>
      <c r="R26" s="49">
        <v>6</v>
      </c>
      <c r="S26" s="49">
        <v>6</v>
      </c>
      <c r="T26" s="49">
        <v>7</v>
      </c>
      <c r="U26" s="49">
        <v>8</v>
      </c>
      <c r="V26" s="49">
        <v>9</v>
      </c>
      <c r="W26" s="49">
        <v>9</v>
      </c>
      <c r="X26" s="49">
        <v>10</v>
      </c>
      <c r="Y26" s="49">
        <v>10</v>
      </c>
      <c r="Z26" s="49">
        <f>SUM(N26:Y26)</f>
        <v>78</v>
      </c>
      <c r="AA26" s="49"/>
      <c r="AB26" s="163"/>
      <c r="AC26" s="76" t="s">
        <v>12</v>
      </c>
      <c r="AD26" s="74">
        <v>15</v>
      </c>
      <c r="AE26" s="74">
        <v>17</v>
      </c>
      <c r="AF26" s="74">
        <v>19</v>
      </c>
      <c r="AG26" s="74">
        <v>21</v>
      </c>
      <c r="AH26" s="74">
        <v>23</v>
      </c>
      <c r="AI26" s="74">
        <v>25</v>
      </c>
      <c r="AJ26" s="74">
        <v>27</v>
      </c>
      <c r="AK26" s="74">
        <v>29</v>
      </c>
      <c r="AL26" s="74">
        <v>31</v>
      </c>
      <c r="AM26" s="74">
        <v>33</v>
      </c>
      <c r="AN26" s="74">
        <v>35</v>
      </c>
      <c r="AO26" s="74">
        <v>36</v>
      </c>
      <c r="AP26" s="74">
        <f t="shared" si="27"/>
        <v>311</v>
      </c>
    </row>
    <row r="27" spans="1:42" ht="30" customHeight="1">
      <c r="A27" s="18" t="s">
        <v>13</v>
      </c>
      <c r="B27" s="14" t="s">
        <v>34</v>
      </c>
      <c r="C27" s="14" t="s">
        <v>34</v>
      </c>
      <c r="D27" s="14" t="s">
        <v>34</v>
      </c>
      <c r="E27" s="14" t="s">
        <v>34</v>
      </c>
      <c r="F27" s="14" t="s">
        <v>34</v>
      </c>
      <c r="G27" s="14" t="s">
        <v>34</v>
      </c>
      <c r="H27" s="14" t="s">
        <v>34</v>
      </c>
      <c r="I27" s="15" t="s">
        <v>34</v>
      </c>
      <c r="J27" s="15" t="s">
        <v>34</v>
      </c>
      <c r="K27" s="15"/>
      <c r="L27" s="141"/>
      <c r="M27" s="51" t="s">
        <v>13</v>
      </c>
      <c r="N27" s="45" t="s">
        <v>34</v>
      </c>
      <c r="O27" s="49">
        <v>1022241</v>
      </c>
      <c r="P27" s="49">
        <v>1022241</v>
      </c>
      <c r="Q27" s="49">
        <f>P27*1.2</f>
        <v>1226689.2</v>
      </c>
      <c r="R27" s="49">
        <f>Q27</f>
        <v>1226689.2</v>
      </c>
      <c r="S27" s="49">
        <f t="shared" ref="S27" si="28">R27</f>
        <v>1226689.2</v>
      </c>
      <c r="T27" s="49">
        <f>S27*1.1</f>
        <v>1349358.12</v>
      </c>
      <c r="U27" s="49">
        <f>T27*1.1</f>
        <v>1484293.9320000003</v>
      </c>
      <c r="V27" s="49">
        <f>U27*1.05</f>
        <v>1558508.6286000004</v>
      </c>
      <c r="W27" s="49">
        <f>V27</f>
        <v>1558508.6286000004</v>
      </c>
      <c r="X27" s="49">
        <f t="shared" ref="X27" si="29">W27</f>
        <v>1558508.6286000004</v>
      </c>
      <c r="Y27" s="49">
        <f t="shared" ref="Y27" si="30">X27</f>
        <v>1558508.6286000004</v>
      </c>
      <c r="Z27" s="49">
        <f>Z25/Z26</f>
        <v>1404805.5202923077</v>
      </c>
      <c r="AA27" s="49"/>
      <c r="AB27" s="163"/>
      <c r="AC27" s="76" t="s">
        <v>13</v>
      </c>
      <c r="AD27" s="74">
        <v>1558508</v>
      </c>
      <c r="AE27" s="74">
        <v>1558508</v>
      </c>
      <c r="AF27" s="74">
        <v>1558508</v>
      </c>
      <c r="AG27" s="74">
        <v>1558508</v>
      </c>
      <c r="AH27" s="74">
        <v>1558508</v>
      </c>
      <c r="AI27" s="74">
        <v>1636433</v>
      </c>
      <c r="AJ27" s="74">
        <v>1636433</v>
      </c>
      <c r="AK27" s="74">
        <v>1636433</v>
      </c>
      <c r="AL27" s="74">
        <v>1636433</v>
      </c>
      <c r="AM27" s="74">
        <v>1636433</v>
      </c>
      <c r="AN27" s="74">
        <v>1636433</v>
      </c>
      <c r="AO27" s="74">
        <v>1636433</v>
      </c>
      <c r="AP27" s="74">
        <f t="shared" si="27"/>
        <v>19247571</v>
      </c>
    </row>
    <row r="28" spans="1:42" ht="30" customHeight="1">
      <c r="A28" s="148" t="s">
        <v>69</v>
      </c>
      <c r="B28" s="149"/>
      <c r="C28" s="149"/>
      <c r="D28" s="149"/>
      <c r="E28" s="149"/>
      <c r="F28" s="149"/>
      <c r="G28" s="149"/>
      <c r="H28" s="149"/>
      <c r="I28" s="149"/>
      <c r="J28" s="150"/>
      <c r="K28" s="102"/>
      <c r="L28" s="141"/>
      <c r="M28" s="164" t="s">
        <v>69</v>
      </c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6"/>
      <c r="AA28" s="100"/>
      <c r="AB28" s="163"/>
      <c r="AC28" s="151" t="s">
        <v>69</v>
      </c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3"/>
    </row>
    <row r="29" spans="1:42" ht="30" customHeight="1">
      <c r="A29" s="11" t="s">
        <v>55</v>
      </c>
      <c r="B29" s="12">
        <f t="shared" ref="B29:J29" si="31">B30+B33</f>
        <v>200692</v>
      </c>
      <c r="C29" s="12">
        <f t="shared" si="31"/>
        <v>342097</v>
      </c>
      <c r="D29" s="12">
        <f t="shared" si="31"/>
        <v>202874</v>
      </c>
      <c r="E29" s="12">
        <f t="shared" si="31"/>
        <v>179119</v>
      </c>
      <c r="F29" s="12">
        <f t="shared" si="31"/>
        <v>120994</v>
      </c>
      <c r="G29" s="12">
        <f t="shared" si="31"/>
        <v>261149</v>
      </c>
      <c r="H29" s="12">
        <f t="shared" si="31"/>
        <v>81267</v>
      </c>
      <c r="I29" s="12">
        <f t="shared" si="31"/>
        <v>231717</v>
      </c>
      <c r="J29" s="12">
        <f t="shared" si="31"/>
        <v>1619909</v>
      </c>
      <c r="K29" s="12"/>
      <c r="L29" s="141"/>
      <c r="M29" s="46" t="s">
        <v>55</v>
      </c>
      <c r="N29" s="93">
        <f>N30+N33</f>
        <v>167580</v>
      </c>
      <c r="O29" s="93">
        <f t="shared" ref="O29:Z29" si="32">O30+O33</f>
        <v>167580</v>
      </c>
      <c r="P29" s="93">
        <f t="shared" si="32"/>
        <v>307230</v>
      </c>
      <c r="Q29" s="93">
        <f t="shared" si="32"/>
        <v>449676</v>
      </c>
      <c r="R29" s="93">
        <f t="shared" si="32"/>
        <v>974298</v>
      </c>
      <c r="S29" s="93">
        <f t="shared" si="32"/>
        <v>1848776</v>
      </c>
      <c r="T29" s="93">
        <f t="shared" si="32"/>
        <v>3222858</v>
      </c>
      <c r="U29" s="93">
        <f t="shared" si="32"/>
        <v>4197228</v>
      </c>
      <c r="V29" s="93">
        <f t="shared" si="32"/>
        <v>3909899</v>
      </c>
      <c r="W29" s="93">
        <f t="shared" si="32"/>
        <v>3135385</v>
      </c>
      <c r="X29" s="93">
        <f t="shared" si="32"/>
        <v>2498308</v>
      </c>
      <c r="Y29" s="93">
        <f t="shared" si="32"/>
        <v>4147120</v>
      </c>
      <c r="Z29" s="93">
        <f t="shared" si="32"/>
        <v>25025938</v>
      </c>
      <c r="AA29" s="93"/>
      <c r="AB29" s="163"/>
      <c r="AC29" s="72" t="s">
        <v>55</v>
      </c>
      <c r="AD29" s="73">
        <f>AD30+AD33</f>
        <v>1673830</v>
      </c>
      <c r="AE29" s="73">
        <f t="shared" ref="AE29:AP29" si="33">AE30+AE33</f>
        <v>2023650</v>
      </c>
      <c r="AF29" s="73">
        <f t="shared" si="33"/>
        <v>2577020</v>
      </c>
      <c r="AG29" s="73">
        <f t="shared" si="33"/>
        <v>3272800</v>
      </c>
      <c r="AH29" s="73">
        <f t="shared" si="33"/>
        <v>4142240</v>
      </c>
      <c r="AI29" s="73">
        <f t="shared" si="33"/>
        <v>5126560</v>
      </c>
      <c r="AJ29" s="73">
        <f t="shared" si="33"/>
        <v>6682464</v>
      </c>
      <c r="AK29" s="73">
        <f t="shared" si="33"/>
        <v>8276153</v>
      </c>
      <c r="AL29" s="73">
        <f t="shared" si="33"/>
        <v>8737817</v>
      </c>
      <c r="AM29" s="73">
        <f t="shared" si="33"/>
        <v>8182872</v>
      </c>
      <c r="AN29" s="73">
        <f t="shared" si="33"/>
        <v>9979528</v>
      </c>
      <c r="AO29" s="73">
        <f t="shared" si="33"/>
        <v>12223421</v>
      </c>
      <c r="AP29" s="73">
        <f t="shared" si="33"/>
        <v>72898355</v>
      </c>
    </row>
    <row r="30" spans="1:42" ht="30" customHeight="1">
      <c r="A30" s="21" t="s">
        <v>45</v>
      </c>
      <c r="B30" s="15">
        <v>200692</v>
      </c>
      <c r="C30" s="15">
        <f>301692+40405</f>
        <v>342097</v>
      </c>
      <c r="D30" s="15">
        <v>202874</v>
      </c>
      <c r="E30" s="15">
        <v>179119</v>
      </c>
      <c r="F30" s="15">
        <v>120994</v>
      </c>
      <c r="G30" s="15">
        <v>261149</v>
      </c>
      <c r="H30" s="15">
        <v>81267</v>
      </c>
      <c r="I30" s="15">
        <v>231717</v>
      </c>
      <c r="J30" s="15">
        <f>SUM(B30:I30)</f>
        <v>1619909</v>
      </c>
      <c r="K30" s="15"/>
      <c r="L30" s="141"/>
      <c r="M30" s="56" t="s">
        <v>45</v>
      </c>
      <c r="N30" s="49">
        <f>N31*N32</f>
        <v>167580</v>
      </c>
      <c r="O30" s="49">
        <f t="shared" ref="O30:Y30" si="34">O31*O32</f>
        <v>167580</v>
      </c>
      <c r="P30" s="49">
        <f t="shared" si="34"/>
        <v>307230</v>
      </c>
      <c r="Q30" s="49">
        <f t="shared" si="34"/>
        <v>449676</v>
      </c>
      <c r="R30" s="49">
        <f t="shared" si="34"/>
        <v>974298</v>
      </c>
      <c r="S30" s="49">
        <f t="shared" si="34"/>
        <v>1698776</v>
      </c>
      <c r="T30" s="49">
        <f t="shared" si="34"/>
        <v>2972858</v>
      </c>
      <c r="U30" s="49">
        <f t="shared" si="34"/>
        <v>3847228</v>
      </c>
      <c r="V30" s="49">
        <f t="shared" si="34"/>
        <v>3609899</v>
      </c>
      <c r="W30" s="49">
        <f t="shared" si="34"/>
        <v>2935385</v>
      </c>
      <c r="X30" s="49">
        <f t="shared" si="34"/>
        <v>2348308</v>
      </c>
      <c r="Y30" s="49">
        <f t="shared" si="34"/>
        <v>3997120</v>
      </c>
      <c r="Z30" s="49">
        <f>SUM(N30:Y30)</f>
        <v>23475938</v>
      </c>
      <c r="AA30" s="49"/>
      <c r="AB30" s="163"/>
      <c r="AC30" s="69" t="s">
        <v>45</v>
      </c>
      <c r="AD30" s="74">
        <f>AD31*AD32</f>
        <v>1623830</v>
      </c>
      <c r="AE30" s="74">
        <f t="shared" ref="AE30:AO30" si="35">AE31*AE32</f>
        <v>1873650</v>
      </c>
      <c r="AF30" s="74">
        <f t="shared" si="35"/>
        <v>2377020</v>
      </c>
      <c r="AG30" s="74">
        <f t="shared" si="35"/>
        <v>3022800</v>
      </c>
      <c r="AH30" s="74">
        <f t="shared" si="35"/>
        <v>3792240</v>
      </c>
      <c r="AI30" s="74">
        <f t="shared" si="35"/>
        <v>4726560</v>
      </c>
      <c r="AJ30" s="74">
        <f t="shared" si="35"/>
        <v>6232464</v>
      </c>
      <c r="AK30" s="74">
        <f t="shared" si="35"/>
        <v>7776153</v>
      </c>
      <c r="AL30" s="74">
        <f t="shared" si="35"/>
        <v>8237817</v>
      </c>
      <c r="AM30" s="74">
        <f t="shared" si="35"/>
        <v>7732872</v>
      </c>
      <c r="AN30" s="74">
        <f t="shared" si="35"/>
        <v>9579528</v>
      </c>
      <c r="AO30" s="74">
        <f t="shared" si="35"/>
        <v>11873421</v>
      </c>
      <c r="AP30" s="74">
        <f>SUM(AD30:AO30)</f>
        <v>68848355</v>
      </c>
    </row>
    <row r="31" spans="1:42" ht="30" customHeight="1">
      <c r="A31" s="22" t="s">
        <v>12</v>
      </c>
      <c r="B31" s="15">
        <v>16</v>
      </c>
      <c r="C31" s="15">
        <v>22</v>
      </c>
      <c r="D31" s="15">
        <v>14</v>
      </c>
      <c r="E31" s="15">
        <v>16</v>
      </c>
      <c r="F31" s="15">
        <v>8</v>
      </c>
      <c r="G31" s="15">
        <v>18</v>
      </c>
      <c r="H31" s="15">
        <v>8</v>
      </c>
      <c r="I31" s="15">
        <v>14</v>
      </c>
      <c r="J31" s="15">
        <f>SUM(B31:I31)</f>
        <v>116</v>
      </c>
      <c r="K31" s="15"/>
      <c r="L31" s="141"/>
      <c r="M31" s="57" t="s">
        <v>12</v>
      </c>
      <c r="N31" s="49">
        <v>12</v>
      </c>
      <c r="O31" s="49">
        <v>12</v>
      </c>
      <c r="P31" s="49">
        <v>22</v>
      </c>
      <c r="Q31" s="49">
        <v>36</v>
      </c>
      <c r="R31" s="49">
        <v>78</v>
      </c>
      <c r="S31" s="49">
        <v>136</v>
      </c>
      <c r="T31" s="49">
        <v>238</v>
      </c>
      <c r="U31" s="49">
        <v>308</v>
      </c>
      <c r="V31" s="49">
        <v>289</v>
      </c>
      <c r="W31" s="49">
        <v>235</v>
      </c>
      <c r="X31" s="49">
        <v>188</v>
      </c>
      <c r="Y31" s="49">
        <v>320</v>
      </c>
      <c r="Z31" s="49">
        <f>SUM(N31:Y31)</f>
        <v>1874</v>
      </c>
      <c r="AA31" s="49"/>
      <c r="AB31" s="163"/>
      <c r="AC31" s="76" t="s">
        <v>12</v>
      </c>
      <c r="AD31" s="70">
        <v>130</v>
      </c>
      <c r="AE31" s="70">
        <v>150</v>
      </c>
      <c r="AF31" s="70">
        <v>173</v>
      </c>
      <c r="AG31" s="70">
        <v>220</v>
      </c>
      <c r="AH31" s="70">
        <v>276</v>
      </c>
      <c r="AI31" s="70">
        <v>344</v>
      </c>
      <c r="AJ31" s="70">
        <v>432</v>
      </c>
      <c r="AK31" s="70">
        <v>539</v>
      </c>
      <c r="AL31" s="70">
        <v>571</v>
      </c>
      <c r="AM31" s="70">
        <v>536</v>
      </c>
      <c r="AN31" s="70">
        <v>664</v>
      </c>
      <c r="AO31" s="70">
        <v>823</v>
      </c>
      <c r="AP31" s="74">
        <f t="shared" ref="AP31:AP35" si="36">SUM(AD31:AO31)</f>
        <v>4858</v>
      </c>
    </row>
    <row r="32" spans="1:42" ht="30" customHeight="1">
      <c r="A32" s="22" t="s">
        <v>13</v>
      </c>
      <c r="B32" s="15">
        <f t="shared" ref="B32:H32" si="37">B30/B31</f>
        <v>12543.25</v>
      </c>
      <c r="C32" s="15">
        <f t="shared" si="37"/>
        <v>15549.863636363636</v>
      </c>
      <c r="D32" s="15">
        <f t="shared" si="37"/>
        <v>14491</v>
      </c>
      <c r="E32" s="15">
        <f t="shared" si="37"/>
        <v>11194.9375</v>
      </c>
      <c r="F32" s="15">
        <f t="shared" si="37"/>
        <v>15124.25</v>
      </c>
      <c r="G32" s="15">
        <f t="shared" si="37"/>
        <v>14508.277777777777</v>
      </c>
      <c r="H32" s="15">
        <f t="shared" si="37"/>
        <v>10158.375</v>
      </c>
      <c r="I32" s="15">
        <f>I30/I31</f>
        <v>16551.214285714286</v>
      </c>
      <c r="J32" s="15">
        <f>J30/J31</f>
        <v>13964.73275862069</v>
      </c>
      <c r="K32" s="15"/>
      <c r="L32" s="141"/>
      <c r="M32" s="57" t="s">
        <v>13</v>
      </c>
      <c r="N32" s="52">
        <v>13965</v>
      </c>
      <c r="O32" s="49">
        <f>N32</f>
        <v>13965</v>
      </c>
      <c r="P32" s="49">
        <f>O32</f>
        <v>13965</v>
      </c>
      <c r="Q32" s="49">
        <v>12491</v>
      </c>
      <c r="R32" s="49">
        <v>12491</v>
      </c>
      <c r="S32" s="49">
        <v>12491</v>
      </c>
      <c r="T32" s="49">
        <v>12491</v>
      </c>
      <c r="U32" s="49">
        <v>12491</v>
      </c>
      <c r="V32" s="49">
        <v>12491</v>
      </c>
      <c r="W32" s="49">
        <v>12491</v>
      </c>
      <c r="X32" s="49">
        <v>12491</v>
      </c>
      <c r="Y32" s="49">
        <v>12491</v>
      </c>
      <c r="Z32" s="49">
        <v>12527</v>
      </c>
      <c r="AA32" s="49"/>
      <c r="AB32" s="163"/>
      <c r="AC32" s="76" t="s">
        <v>13</v>
      </c>
      <c r="AD32" s="74">
        <v>12491</v>
      </c>
      <c r="AE32" s="74">
        <v>12491</v>
      </c>
      <c r="AF32" s="74">
        <v>13740</v>
      </c>
      <c r="AG32" s="74">
        <v>13740</v>
      </c>
      <c r="AH32" s="74">
        <v>13740</v>
      </c>
      <c r="AI32" s="74">
        <v>13740</v>
      </c>
      <c r="AJ32" s="74">
        <v>14427</v>
      </c>
      <c r="AK32" s="74">
        <v>14427</v>
      </c>
      <c r="AL32" s="74">
        <v>14427</v>
      </c>
      <c r="AM32" s="74">
        <v>14427</v>
      </c>
      <c r="AN32" s="74">
        <v>14427</v>
      </c>
      <c r="AO32" s="74">
        <v>14427</v>
      </c>
      <c r="AP32" s="74">
        <f t="shared" si="36"/>
        <v>166504</v>
      </c>
    </row>
    <row r="33" spans="1:42" ht="30" customHeight="1">
      <c r="A33" s="21" t="s">
        <v>47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/>
      <c r="L33" s="141"/>
      <c r="M33" s="56" t="s">
        <v>47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49">
        <f>S34*S35</f>
        <v>150000</v>
      </c>
      <c r="T33" s="49">
        <f t="shared" ref="T33:Y33" si="38">T34*T35</f>
        <v>250000</v>
      </c>
      <c r="U33" s="49">
        <f t="shared" si="38"/>
        <v>350000</v>
      </c>
      <c r="V33" s="49">
        <f t="shared" si="38"/>
        <v>300000</v>
      </c>
      <c r="W33" s="49">
        <f t="shared" si="38"/>
        <v>200000</v>
      </c>
      <c r="X33" s="49">
        <f t="shared" si="38"/>
        <v>150000</v>
      </c>
      <c r="Y33" s="49">
        <f t="shared" si="38"/>
        <v>150000</v>
      </c>
      <c r="Z33" s="49">
        <f>SUM(S33:Y33)</f>
        <v>1550000</v>
      </c>
      <c r="AA33" s="49"/>
      <c r="AB33" s="163"/>
      <c r="AC33" s="69" t="s">
        <v>47</v>
      </c>
      <c r="AD33" s="70">
        <f>AD34*AD35</f>
        <v>50000</v>
      </c>
      <c r="AE33" s="70">
        <f t="shared" ref="AE33:AO33" si="39">AE34*AE35</f>
        <v>150000</v>
      </c>
      <c r="AF33" s="70">
        <f t="shared" si="39"/>
        <v>200000</v>
      </c>
      <c r="AG33" s="70">
        <f t="shared" si="39"/>
        <v>250000</v>
      </c>
      <c r="AH33" s="70">
        <f t="shared" si="39"/>
        <v>350000</v>
      </c>
      <c r="AI33" s="70">
        <f t="shared" si="39"/>
        <v>400000</v>
      </c>
      <c r="AJ33" s="70">
        <f t="shared" si="39"/>
        <v>450000</v>
      </c>
      <c r="AK33" s="70">
        <f t="shared" si="39"/>
        <v>500000</v>
      </c>
      <c r="AL33" s="70">
        <f t="shared" si="39"/>
        <v>500000</v>
      </c>
      <c r="AM33" s="70">
        <f t="shared" si="39"/>
        <v>450000</v>
      </c>
      <c r="AN33" s="70">
        <f t="shared" si="39"/>
        <v>400000</v>
      </c>
      <c r="AO33" s="70">
        <f t="shared" si="39"/>
        <v>350000</v>
      </c>
      <c r="AP33" s="74">
        <f t="shared" si="36"/>
        <v>4050000</v>
      </c>
    </row>
    <row r="34" spans="1:42" ht="30" customHeight="1">
      <c r="A34" s="22" t="s">
        <v>12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/>
      <c r="L34" s="141"/>
      <c r="M34" s="57" t="s">
        <v>12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49">
        <v>3</v>
      </c>
      <c r="T34" s="49">
        <v>5</v>
      </c>
      <c r="U34" s="49">
        <v>7</v>
      </c>
      <c r="V34" s="49">
        <v>6</v>
      </c>
      <c r="W34" s="49">
        <v>4</v>
      </c>
      <c r="X34" s="49">
        <v>3</v>
      </c>
      <c r="Y34" s="49">
        <v>3</v>
      </c>
      <c r="Z34" s="49">
        <f>SUM(S34:Y34)</f>
        <v>31</v>
      </c>
      <c r="AA34" s="49"/>
      <c r="AB34" s="163"/>
      <c r="AC34" s="76" t="s">
        <v>12</v>
      </c>
      <c r="AD34" s="70">
        <v>1</v>
      </c>
      <c r="AE34" s="70">
        <v>3</v>
      </c>
      <c r="AF34" s="70">
        <v>4</v>
      </c>
      <c r="AG34" s="70">
        <v>5</v>
      </c>
      <c r="AH34" s="70">
        <v>7</v>
      </c>
      <c r="AI34" s="70">
        <v>8</v>
      </c>
      <c r="AJ34" s="70">
        <v>9</v>
      </c>
      <c r="AK34" s="70">
        <v>10</v>
      </c>
      <c r="AL34" s="70">
        <v>10</v>
      </c>
      <c r="AM34" s="70">
        <v>9</v>
      </c>
      <c r="AN34" s="70">
        <v>8</v>
      </c>
      <c r="AO34" s="70">
        <v>7</v>
      </c>
      <c r="AP34" s="74">
        <f t="shared" si="36"/>
        <v>81</v>
      </c>
    </row>
    <row r="35" spans="1:42" ht="30" customHeight="1">
      <c r="A35" s="22" t="s">
        <v>13</v>
      </c>
      <c r="B35" s="14" t="s">
        <v>34</v>
      </c>
      <c r="C35" s="14" t="s">
        <v>34</v>
      </c>
      <c r="D35" s="14" t="s">
        <v>34</v>
      </c>
      <c r="E35" s="14" t="s">
        <v>34</v>
      </c>
      <c r="F35" s="14" t="s">
        <v>34</v>
      </c>
      <c r="G35" s="14" t="s">
        <v>34</v>
      </c>
      <c r="H35" s="14" t="s">
        <v>34</v>
      </c>
      <c r="I35" s="15" t="s">
        <v>34</v>
      </c>
      <c r="J35" s="15" t="s">
        <v>34</v>
      </c>
      <c r="K35" s="15"/>
      <c r="L35" s="141"/>
      <c r="M35" s="57" t="s">
        <v>13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49">
        <v>50000</v>
      </c>
      <c r="T35" s="49">
        <v>50000</v>
      </c>
      <c r="U35" s="49">
        <v>50000</v>
      </c>
      <c r="V35" s="49">
        <v>50000</v>
      </c>
      <c r="W35" s="49">
        <v>50000</v>
      </c>
      <c r="X35" s="49">
        <v>50000</v>
      </c>
      <c r="Y35" s="49">
        <v>50000</v>
      </c>
      <c r="Z35" s="49">
        <f>Z33/Z34</f>
        <v>50000</v>
      </c>
      <c r="AA35" s="49"/>
      <c r="AB35" s="163"/>
      <c r="AC35" s="76" t="s">
        <v>13</v>
      </c>
      <c r="AD35" s="70">
        <v>50000</v>
      </c>
      <c r="AE35" s="70">
        <v>50000</v>
      </c>
      <c r="AF35" s="70">
        <v>50000</v>
      </c>
      <c r="AG35" s="70">
        <v>50000</v>
      </c>
      <c r="AH35" s="70">
        <v>50000</v>
      </c>
      <c r="AI35" s="70">
        <v>50000</v>
      </c>
      <c r="AJ35" s="70">
        <v>50000</v>
      </c>
      <c r="AK35" s="70">
        <v>50000</v>
      </c>
      <c r="AL35" s="70">
        <v>50000</v>
      </c>
      <c r="AM35" s="70">
        <v>50000</v>
      </c>
      <c r="AN35" s="70">
        <v>50000</v>
      </c>
      <c r="AO35" s="70">
        <v>50000</v>
      </c>
      <c r="AP35" s="74">
        <f t="shared" si="36"/>
        <v>600000</v>
      </c>
    </row>
    <row r="36" spans="1:42" ht="30" customHeight="1">
      <c r="A36" s="148" t="s">
        <v>68</v>
      </c>
      <c r="B36" s="149"/>
      <c r="C36" s="149"/>
      <c r="D36" s="149"/>
      <c r="E36" s="149"/>
      <c r="F36" s="149"/>
      <c r="G36" s="149"/>
      <c r="H36" s="149"/>
      <c r="I36" s="149"/>
      <c r="J36" s="150"/>
      <c r="K36" s="102"/>
      <c r="L36" s="141"/>
      <c r="M36" s="170" t="s">
        <v>68</v>
      </c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2"/>
      <c r="AA36" s="104"/>
      <c r="AB36" s="163"/>
      <c r="AC36" s="167" t="s">
        <v>68</v>
      </c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9"/>
    </row>
    <row r="37" spans="1:42" ht="30" customHeight="1">
      <c r="A37" s="11" t="s">
        <v>56</v>
      </c>
      <c r="B37" s="12">
        <f t="shared" ref="B37:J37" si="40">B40+B43</f>
        <v>214943</v>
      </c>
      <c r="C37" s="12">
        <f t="shared" si="40"/>
        <v>519749</v>
      </c>
      <c r="D37" s="12">
        <f t="shared" si="40"/>
        <v>476830</v>
      </c>
      <c r="E37" s="12">
        <f t="shared" si="40"/>
        <v>483540</v>
      </c>
      <c r="F37" s="12">
        <f t="shared" si="40"/>
        <v>530350</v>
      </c>
      <c r="G37" s="12">
        <f t="shared" si="40"/>
        <v>465360</v>
      </c>
      <c r="H37" s="12">
        <f t="shared" si="40"/>
        <v>179024</v>
      </c>
      <c r="I37" s="12">
        <f t="shared" si="40"/>
        <v>360929</v>
      </c>
      <c r="J37" s="12">
        <f t="shared" si="40"/>
        <v>3230725</v>
      </c>
      <c r="K37" s="12"/>
      <c r="L37" s="141"/>
      <c r="M37" s="46" t="s">
        <v>56</v>
      </c>
      <c r="N37" s="47">
        <f>N40+N43</f>
        <v>84540</v>
      </c>
      <c r="O37" s="47">
        <f t="shared" ref="O37:Y37" si="41">O40+O43</f>
        <v>155000</v>
      </c>
      <c r="P37" s="47">
        <f t="shared" si="41"/>
        <v>534000</v>
      </c>
      <c r="Q37" s="47">
        <f t="shared" si="41"/>
        <v>873000</v>
      </c>
      <c r="R37" s="47">
        <f t="shared" si="41"/>
        <v>1189000</v>
      </c>
      <c r="S37" s="47">
        <f t="shared" si="41"/>
        <v>1585000</v>
      </c>
      <c r="T37" s="47">
        <f t="shared" si="41"/>
        <v>2044000</v>
      </c>
      <c r="U37" s="47">
        <f t="shared" si="41"/>
        <v>2383000</v>
      </c>
      <c r="V37" s="47">
        <f t="shared" si="41"/>
        <v>2027000</v>
      </c>
      <c r="W37" s="47">
        <f t="shared" si="41"/>
        <v>1769000</v>
      </c>
      <c r="X37" s="47">
        <f t="shared" si="41"/>
        <v>1245000</v>
      </c>
      <c r="Y37" s="47">
        <f t="shared" si="41"/>
        <v>1935000</v>
      </c>
      <c r="Z37" s="54">
        <f>SUM(N37:Y37)</f>
        <v>15823540</v>
      </c>
      <c r="AA37" s="105"/>
      <c r="AB37" s="163"/>
      <c r="AC37" s="72" t="s">
        <v>56</v>
      </c>
      <c r="AD37" s="73">
        <f>AD40+AD43</f>
        <v>1017000</v>
      </c>
      <c r="AE37" s="73">
        <f t="shared" ref="AE37:AO37" si="42">AE40+AE43</f>
        <v>1333000</v>
      </c>
      <c r="AF37" s="73">
        <f t="shared" si="42"/>
        <v>1580000</v>
      </c>
      <c r="AG37" s="73">
        <f t="shared" si="42"/>
        <v>2101000</v>
      </c>
      <c r="AH37" s="73">
        <f t="shared" si="42"/>
        <v>2505000</v>
      </c>
      <c r="AI37" s="73">
        <f t="shared" si="42"/>
        <v>2920700</v>
      </c>
      <c r="AJ37" s="73">
        <f t="shared" si="42"/>
        <v>3297000</v>
      </c>
      <c r="AK37" s="73">
        <f t="shared" si="42"/>
        <v>3601900</v>
      </c>
      <c r="AL37" s="73">
        <f t="shared" si="42"/>
        <v>3063800</v>
      </c>
      <c r="AM37" s="73">
        <f t="shared" si="42"/>
        <v>2537500</v>
      </c>
      <c r="AN37" s="73">
        <f t="shared" si="42"/>
        <v>2629200</v>
      </c>
      <c r="AO37" s="73">
        <f t="shared" si="42"/>
        <v>3591600</v>
      </c>
      <c r="AP37" s="73">
        <f>SUM(AD37:AO37)</f>
        <v>30177700</v>
      </c>
    </row>
    <row r="38" spans="1:42" ht="30" customHeight="1">
      <c r="A38" s="13" t="s">
        <v>12</v>
      </c>
      <c r="B38" s="14">
        <f>B41+B44</f>
        <v>9</v>
      </c>
      <c r="C38" s="14">
        <f t="shared" ref="C38:J38" si="43">C41+C44</f>
        <v>25</v>
      </c>
      <c r="D38" s="14">
        <f t="shared" si="43"/>
        <v>23</v>
      </c>
      <c r="E38" s="14">
        <f t="shared" si="43"/>
        <v>26</v>
      </c>
      <c r="F38" s="14">
        <f t="shared" si="43"/>
        <v>22</v>
      </c>
      <c r="G38" s="14">
        <f t="shared" si="43"/>
        <v>19</v>
      </c>
      <c r="H38" s="14">
        <f t="shared" si="43"/>
        <v>7</v>
      </c>
      <c r="I38" s="14">
        <f t="shared" si="43"/>
        <v>20</v>
      </c>
      <c r="J38" s="14">
        <f t="shared" si="43"/>
        <v>151</v>
      </c>
      <c r="K38" s="14"/>
      <c r="L38" s="141"/>
      <c r="M38" s="48" t="s">
        <v>12</v>
      </c>
      <c r="N38" s="49">
        <f>N41+N44</f>
        <v>4</v>
      </c>
      <c r="O38" s="49">
        <f t="shared" ref="O38:Y38" si="44">O41+O44</f>
        <v>6</v>
      </c>
      <c r="P38" s="49">
        <f t="shared" si="44"/>
        <v>21</v>
      </c>
      <c r="Q38" s="49">
        <f t="shared" si="44"/>
        <v>35</v>
      </c>
      <c r="R38" s="49">
        <f t="shared" si="44"/>
        <v>48</v>
      </c>
      <c r="S38" s="49">
        <f t="shared" si="44"/>
        <v>63</v>
      </c>
      <c r="T38" s="49">
        <f t="shared" si="44"/>
        <v>80</v>
      </c>
      <c r="U38" s="49">
        <f t="shared" si="44"/>
        <v>94</v>
      </c>
      <c r="V38" s="49">
        <f t="shared" si="44"/>
        <v>80</v>
      </c>
      <c r="W38" s="49">
        <f t="shared" si="44"/>
        <v>71</v>
      </c>
      <c r="X38" s="49">
        <f t="shared" si="44"/>
        <v>46</v>
      </c>
      <c r="Y38" s="49">
        <f t="shared" si="44"/>
        <v>76</v>
      </c>
      <c r="Z38" s="49">
        <f>SUM(N38:Y38)</f>
        <v>624</v>
      </c>
      <c r="AA38" s="49"/>
      <c r="AB38" s="163"/>
      <c r="AC38" s="89" t="s">
        <v>12</v>
      </c>
      <c r="AD38" s="74">
        <f>AD41+AD44</f>
        <v>42</v>
      </c>
      <c r="AE38" s="74">
        <f t="shared" ref="AE38:AO38" si="45">AE41+AE44</f>
        <v>55</v>
      </c>
      <c r="AF38" s="74">
        <f t="shared" si="45"/>
        <v>65</v>
      </c>
      <c r="AG38" s="74">
        <f t="shared" si="45"/>
        <v>79</v>
      </c>
      <c r="AH38" s="74">
        <f t="shared" si="45"/>
        <v>93</v>
      </c>
      <c r="AI38" s="74">
        <f t="shared" si="45"/>
        <v>107</v>
      </c>
      <c r="AJ38" s="74">
        <f t="shared" si="45"/>
        <v>120</v>
      </c>
      <c r="AK38" s="74">
        <f t="shared" si="45"/>
        <v>130</v>
      </c>
      <c r="AL38" s="74">
        <f t="shared" si="45"/>
        <v>107</v>
      </c>
      <c r="AM38" s="74">
        <f t="shared" si="45"/>
        <v>88</v>
      </c>
      <c r="AN38" s="74">
        <f t="shared" si="45"/>
        <v>93</v>
      </c>
      <c r="AO38" s="74">
        <f t="shared" si="45"/>
        <v>132</v>
      </c>
      <c r="AP38" s="74">
        <f t="shared" ref="AP38:AP44" si="46">SUM(AD38:AO38)</f>
        <v>1111</v>
      </c>
    </row>
    <row r="39" spans="1:42" ht="30" customHeight="1">
      <c r="A39" s="13" t="s">
        <v>13</v>
      </c>
      <c r="B39" s="14">
        <f>B37/B38</f>
        <v>23882.555555555555</v>
      </c>
      <c r="C39" s="14">
        <f>C37/C38</f>
        <v>20789.96</v>
      </c>
      <c r="D39" s="14">
        <f t="shared" ref="D39:J39" si="47">D37/D38</f>
        <v>20731.739130434784</v>
      </c>
      <c r="E39" s="14">
        <f t="shared" si="47"/>
        <v>18597.692307692309</v>
      </c>
      <c r="F39" s="14">
        <f t="shared" si="47"/>
        <v>24106.81818181818</v>
      </c>
      <c r="G39" s="14">
        <f t="shared" si="47"/>
        <v>24492.63157894737</v>
      </c>
      <c r="H39" s="14">
        <f t="shared" si="47"/>
        <v>25574.857142857141</v>
      </c>
      <c r="I39" s="14">
        <f t="shared" si="47"/>
        <v>18046.45</v>
      </c>
      <c r="J39" s="14">
        <f t="shared" si="47"/>
        <v>21395.529801324505</v>
      </c>
      <c r="K39" s="14"/>
      <c r="L39" s="141"/>
      <c r="M39" s="48" t="s">
        <v>13</v>
      </c>
      <c r="N39" s="49">
        <f>N37/N38</f>
        <v>21135</v>
      </c>
      <c r="O39" s="49">
        <f t="shared" ref="O39:Y39" si="48">O37/O38</f>
        <v>25833.333333333332</v>
      </c>
      <c r="P39" s="49">
        <f t="shared" si="48"/>
        <v>25428.571428571428</v>
      </c>
      <c r="Q39" s="49">
        <f t="shared" si="48"/>
        <v>24942.857142857141</v>
      </c>
      <c r="R39" s="49">
        <f t="shared" si="48"/>
        <v>24770.833333333332</v>
      </c>
      <c r="S39" s="49">
        <f t="shared" si="48"/>
        <v>25158.730158730159</v>
      </c>
      <c r="T39" s="49">
        <f t="shared" si="48"/>
        <v>25550</v>
      </c>
      <c r="U39" s="49">
        <f t="shared" si="48"/>
        <v>25351.063829787236</v>
      </c>
      <c r="V39" s="49">
        <f t="shared" si="48"/>
        <v>25337.5</v>
      </c>
      <c r="W39" s="49">
        <f t="shared" si="48"/>
        <v>24915.492957746479</v>
      </c>
      <c r="X39" s="49">
        <f t="shared" si="48"/>
        <v>27065.217391304348</v>
      </c>
      <c r="Y39" s="49">
        <f t="shared" si="48"/>
        <v>25460.526315789473</v>
      </c>
      <c r="Z39" s="49">
        <f>Z37/Z38</f>
        <v>25358.23717948718</v>
      </c>
      <c r="AA39" s="49"/>
      <c r="AB39" s="163"/>
      <c r="AC39" s="89" t="s">
        <v>13</v>
      </c>
      <c r="AD39" s="74">
        <f>AD37/AD38</f>
        <v>24214.285714285714</v>
      </c>
      <c r="AE39" s="74">
        <f t="shared" ref="AE39:AO39" si="49">AE37/AE38</f>
        <v>24236.363636363636</v>
      </c>
      <c r="AF39" s="74">
        <f t="shared" si="49"/>
        <v>24307.692307692309</v>
      </c>
      <c r="AG39" s="74">
        <f t="shared" si="49"/>
        <v>26594.936708860758</v>
      </c>
      <c r="AH39" s="74">
        <f t="shared" si="49"/>
        <v>26935.483870967742</v>
      </c>
      <c r="AI39" s="74">
        <f t="shared" si="49"/>
        <v>27296.261682242992</v>
      </c>
      <c r="AJ39" s="74">
        <f t="shared" si="49"/>
        <v>27475</v>
      </c>
      <c r="AK39" s="74">
        <f t="shared" si="49"/>
        <v>27706.923076923078</v>
      </c>
      <c r="AL39" s="74">
        <f t="shared" si="49"/>
        <v>28633.644859813085</v>
      </c>
      <c r="AM39" s="74">
        <f t="shared" si="49"/>
        <v>28835.227272727272</v>
      </c>
      <c r="AN39" s="74">
        <f t="shared" si="49"/>
        <v>28270.967741935485</v>
      </c>
      <c r="AO39" s="74">
        <f t="shared" si="49"/>
        <v>27209.090909090908</v>
      </c>
      <c r="AP39" s="74">
        <f>AP37/AP38</f>
        <v>27162.646264626463</v>
      </c>
    </row>
    <row r="40" spans="1:42" ht="30" customHeight="1">
      <c r="A40" s="23" t="s">
        <v>44</v>
      </c>
      <c r="B40" s="12">
        <v>214943</v>
      </c>
      <c r="C40" s="12">
        <v>478849</v>
      </c>
      <c r="D40" s="12">
        <v>422830</v>
      </c>
      <c r="E40" s="12">
        <v>483540</v>
      </c>
      <c r="F40" s="12">
        <v>530350</v>
      </c>
      <c r="G40" s="12">
        <v>436360</v>
      </c>
      <c r="H40" s="12">
        <v>179024</v>
      </c>
      <c r="I40" s="12">
        <v>360929</v>
      </c>
      <c r="J40" s="12">
        <f>SUM(B40:I40)</f>
        <v>3106825</v>
      </c>
      <c r="K40" s="12"/>
      <c r="L40" s="141"/>
      <c r="M40" s="58" t="s">
        <v>44</v>
      </c>
      <c r="N40" s="47">
        <f>N41*N42</f>
        <v>84540</v>
      </c>
      <c r="O40" s="47">
        <f t="shared" ref="O40:Y40" si="50">O41*O42</f>
        <v>115000</v>
      </c>
      <c r="P40" s="47">
        <f t="shared" si="50"/>
        <v>414000</v>
      </c>
      <c r="Q40" s="47">
        <f t="shared" si="50"/>
        <v>713000</v>
      </c>
      <c r="R40" s="47">
        <f t="shared" si="50"/>
        <v>989000</v>
      </c>
      <c r="S40" s="47">
        <f t="shared" si="50"/>
        <v>1265000</v>
      </c>
      <c r="T40" s="47">
        <f t="shared" si="50"/>
        <v>1564000</v>
      </c>
      <c r="U40" s="47">
        <f t="shared" si="50"/>
        <v>1863000</v>
      </c>
      <c r="V40" s="47">
        <f t="shared" si="50"/>
        <v>1587000</v>
      </c>
      <c r="W40" s="47">
        <f t="shared" si="50"/>
        <v>1449000</v>
      </c>
      <c r="X40" s="47">
        <f t="shared" si="50"/>
        <v>805000</v>
      </c>
      <c r="Y40" s="47">
        <f t="shared" si="50"/>
        <v>1495000</v>
      </c>
      <c r="Z40" s="47">
        <f>SUM(N40:Y40)</f>
        <v>12343540</v>
      </c>
      <c r="AA40" s="93"/>
      <c r="AB40" s="163"/>
      <c r="AC40" s="72" t="s">
        <v>44</v>
      </c>
      <c r="AD40" s="73">
        <f>AD41*AD42</f>
        <v>897000</v>
      </c>
      <c r="AE40" s="73">
        <f t="shared" ref="AE40:AO40" si="51">AE41*AE42</f>
        <v>1173000</v>
      </c>
      <c r="AF40" s="73">
        <f t="shared" si="51"/>
        <v>1380000</v>
      </c>
      <c r="AG40" s="73">
        <f t="shared" si="51"/>
        <v>1800000</v>
      </c>
      <c r="AH40" s="73">
        <f t="shared" si="51"/>
        <v>2075000</v>
      </c>
      <c r="AI40" s="73">
        <f t="shared" si="51"/>
        <v>2350000</v>
      </c>
      <c r="AJ40" s="73">
        <f t="shared" si="51"/>
        <v>2625000</v>
      </c>
      <c r="AK40" s="73">
        <f t="shared" si="51"/>
        <v>2825000</v>
      </c>
      <c r="AL40" s="73">
        <f t="shared" si="51"/>
        <v>2225000</v>
      </c>
      <c r="AM40" s="73">
        <f t="shared" si="51"/>
        <v>1825000</v>
      </c>
      <c r="AN40" s="73">
        <f t="shared" si="51"/>
        <v>2000000</v>
      </c>
      <c r="AO40" s="73">
        <f t="shared" si="51"/>
        <v>3000000</v>
      </c>
      <c r="AP40" s="73">
        <f t="shared" si="46"/>
        <v>24175000</v>
      </c>
    </row>
    <row r="41" spans="1:42" ht="30" customHeight="1">
      <c r="A41" s="22" t="s">
        <v>12</v>
      </c>
      <c r="B41" s="15">
        <v>9</v>
      </c>
      <c r="C41" s="15">
        <v>23</v>
      </c>
      <c r="D41" s="15">
        <v>22</v>
      </c>
      <c r="E41" s="15">
        <v>26</v>
      </c>
      <c r="F41" s="15">
        <v>22</v>
      </c>
      <c r="G41" s="15">
        <v>18</v>
      </c>
      <c r="H41" s="15">
        <v>7</v>
      </c>
      <c r="I41" s="15">
        <v>20</v>
      </c>
      <c r="J41" s="15">
        <f>SUM(B41:I41)</f>
        <v>147</v>
      </c>
      <c r="K41" s="15"/>
      <c r="L41" s="141"/>
      <c r="M41" s="57" t="s">
        <v>12</v>
      </c>
      <c r="N41" s="49">
        <v>4</v>
      </c>
      <c r="O41" s="49">
        <v>5</v>
      </c>
      <c r="P41" s="49">
        <v>18</v>
      </c>
      <c r="Q41" s="49">
        <v>31</v>
      </c>
      <c r="R41" s="49">
        <v>43</v>
      </c>
      <c r="S41" s="49">
        <v>55</v>
      </c>
      <c r="T41" s="49">
        <v>68</v>
      </c>
      <c r="U41" s="49">
        <v>81</v>
      </c>
      <c r="V41" s="49">
        <v>69</v>
      </c>
      <c r="W41" s="49">
        <v>63</v>
      </c>
      <c r="X41" s="49">
        <v>35</v>
      </c>
      <c r="Y41" s="49">
        <v>65</v>
      </c>
      <c r="Z41" s="49">
        <f>SUM(N41:Y41)</f>
        <v>537</v>
      </c>
      <c r="AA41" s="49"/>
      <c r="AB41" s="163"/>
      <c r="AC41" s="76" t="s">
        <v>12</v>
      </c>
      <c r="AD41" s="74">
        <v>39</v>
      </c>
      <c r="AE41" s="74">
        <v>51</v>
      </c>
      <c r="AF41" s="74">
        <v>60</v>
      </c>
      <c r="AG41" s="74">
        <v>72</v>
      </c>
      <c r="AH41" s="74">
        <v>83</v>
      </c>
      <c r="AI41" s="74">
        <v>94</v>
      </c>
      <c r="AJ41" s="74">
        <v>105</v>
      </c>
      <c r="AK41" s="74">
        <v>113</v>
      </c>
      <c r="AL41" s="74">
        <v>89</v>
      </c>
      <c r="AM41" s="74">
        <v>73</v>
      </c>
      <c r="AN41" s="74">
        <v>80</v>
      </c>
      <c r="AO41" s="74">
        <v>120</v>
      </c>
      <c r="AP41" s="74">
        <f t="shared" si="46"/>
        <v>979</v>
      </c>
    </row>
    <row r="42" spans="1:42" ht="30" customHeight="1">
      <c r="A42" s="22" t="s">
        <v>13</v>
      </c>
      <c r="B42" s="15">
        <f t="shared" ref="B42:H42" si="52">B40/B41</f>
        <v>23882.555555555555</v>
      </c>
      <c r="C42" s="15">
        <f t="shared" si="52"/>
        <v>20819.521739130436</v>
      </c>
      <c r="D42" s="15">
        <f t="shared" si="52"/>
        <v>19219.545454545456</v>
      </c>
      <c r="E42" s="15">
        <f t="shared" si="52"/>
        <v>18597.692307692309</v>
      </c>
      <c r="F42" s="15">
        <f t="shared" si="52"/>
        <v>24106.81818181818</v>
      </c>
      <c r="G42" s="15">
        <f t="shared" si="52"/>
        <v>24242.222222222223</v>
      </c>
      <c r="H42" s="15">
        <f t="shared" si="52"/>
        <v>25574.857142857141</v>
      </c>
      <c r="I42" s="15">
        <f>I40/I41</f>
        <v>18046.45</v>
      </c>
      <c r="J42" s="15">
        <f>J40/J41</f>
        <v>21134.863945578232</v>
      </c>
      <c r="K42" s="15"/>
      <c r="L42" s="141"/>
      <c r="M42" s="57" t="s">
        <v>13</v>
      </c>
      <c r="N42" s="49">
        <v>21135</v>
      </c>
      <c r="O42" s="49">
        <v>23000</v>
      </c>
      <c r="P42" s="49">
        <v>23000</v>
      </c>
      <c r="Q42" s="49">
        <v>23000</v>
      </c>
      <c r="R42" s="49">
        <v>23000</v>
      </c>
      <c r="S42" s="49">
        <v>23000</v>
      </c>
      <c r="T42" s="49">
        <v>23000</v>
      </c>
      <c r="U42" s="49">
        <v>23000</v>
      </c>
      <c r="V42" s="49">
        <v>23000</v>
      </c>
      <c r="W42" s="49">
        <v>23000</v>
      </c>
      <c r="X42" s="49">
        <v>23000</v>
      </c>
      <c r="Y42" s="49">
        <v>23000</v>
      </c>
      <c r="Z42" s="52">
        <f>Z40/Z41</f>
        <v>22986.108007448791</v>
      </c>
      <c r="AA42" s="52"/>
      <c r="AB42" s="163"/>
      <c r="AC42" s="76" t="s">
        <v>13</v>
      </c>
      <c r="AD42" s="74">
        <v>23000</v>
      </c>
      <c r="AE42" s="74">
        <v>23000</v>
      </c>
      <c r="AF42" s="74">
        <v>23000</v>
      </c>
      <c r="AG42" s="74">
        <v>25000</v>
      </c>
      <c r="AH42" s="74">
        <v>25000</v>
      </c>
      <c r="AI42" s="74">
        <v>25000</v>
      </c>
      <c r="AJ42" s="74">
        <v>25000</v>
      </c>
      <c r="AK42" s="74">
        <v>25000</v>
      </c>
      <c r="AL42" s="74">
        <v>25000</v>
      </c>
      <c r="AM42" s="74">
        <v>25000</v>
      </c>
      <c r="AN42" s="74">
        <v>25000</v>
      </c>
      <c r="AO42" s="74">
        <v>25000</v>
      </c>
      <c r="AP42" s="74">
        <f>AP40/AP41</f>
        <v>24693.564862104187</v>
      </c>
    </row>
    <row r="43" spans="1:42" ht="30" customHeight="1">
      <c r="A43" s="23" t="s">
        <v>46</v>
      </c>
      <c r="B43" s="12">
        <v>0</v>
      </c>
      <c r="C43" s="12">
        <v>40900</v>
      </c>
      <c r="D43" s="12">
        <v>54000</v>
      </c>
      <c r="E43" s="12">
        <v>0</v>
      </c>
      <c r="F43" s="12">
        <v>0</v>
      </c>
      <c r="G43" s="12">
        <v>29000</v>
      </c>
      <c r="H43" s="12">
        <v>0</v>
      </c>
      <c r="I43" s="12">
        <v>0</v>
      </c>
      <c r="J43" s="12">
        <f>SUM(B43:I43)</f>
        <v>123900</v>
      </c>
      <c r="K43" s="12"/>
      <c r="L43" s="141"/>
      <c r="M43" s="58" t="s">
        <v>46</v>
      </c>
      <c r="N43" s="47">
        <f>N44*N45</f>
        <v>0</v>
      </c>
      <c r="O43" s="47">
        <f t="shared" ref="O43:Y43" si="53">O44*O45</f>
        <v>40000</v>
      </c>
      <c r="P43" s="47">
        <f t="shared" si="53"/>
        <v>120000</v>
      </c>
      <c r="Q43" s="47">
        <f t="shared" si="53"/>
        <v>160000</v>
      </c>
      <c r="R43" s="47">
        <f t="shared" si="53"/>
        <v>200000</v>
      </c>
      <c r="S43" s="47">
        <f t="shared" si="53"/>
        <v>320000</v>
      </c>
      <c r="T43" s="47">
        <f t="shared" si="53"/>
        <v>480000</v>
      </c>
      <c r="U43" s="47">
        <f t="shared" si="53"/>
        <v>520000</v>
      </c>
      <c r="V43" s="47">
        <f t="shared" si="53"/>
        <v>440000</v>
      </c>
      <c r="W43" s="47">
        <f t="shared" si="53"/>
        <v>320000</v>
      </c>
      <c r="X43" s="47">
        <f t="shared" si="53"/>
        <v>440000</v>
      </c>
      <c r="Y43" s="47">
        <f t="shared" si="53"/>
        <v>440000</v>
      </c>
      <c r="Z43" s="54">
        <f>SUM(N43:Y43)</f>
        <v>3480000</v>
      </c>
      <c r="AA43" s="105"/>
      <c r="AB43" s="163"/>
      <c r="AC43" s="72" t="s">
        <v>46</v>
      </c>
      <c r="AD43" s="73">
        <f>AD44*AD45</f>
        <v>120000</v>
      </c>
      <c r="AE43" s="73">
        <f t="shared" ref="AE43:AO43" si="54">AE44*AE45</f>
        <v>160000</v>
      </c>
      <c r="AF43" s="73">
        <f t="shared" si="54"/>
        <v>200000</v>
      </c>
      <c r="AG43" s="73">
        <f t="shared" si="54"/>
        <v>301000</v>
      </c>
      <c r="AH43" s="73">
        <f t="shared" si="54"/>
        <v>430000</v>
      </c>
      <c r="AI43" s="73">
        <f t="shared" si="54"/>
        <v>570700</v>
      </c>
      <c r="AJ43" s="73">
        <f t="shared" si="54"/>
        <v>672000</v>
      </c>
      <c r="AK43" s="73">
        <f t="shared" si="54"/>
        <v>776900</v>
      </c>
      <c r="AL43" s="73">
        <f t="shared" si="54"/>
        <v>838800</v>
      </c>
      <c r="AM43" s="73">
        <f t="shared" si="54"/>
        <v>712500</v>
      </c>
      <c r="AN43" s="73">
        <f t="shared" si="54"/>
        <v>629200</v>
      </c>
      <c r="AO43" s="73">
        <f t="shared" si="54"/>
        <v>591600</v>
      </c>
      <c r="AP43" s="73">
        <f t="shared" si="46"/>
        <v>6002700</v>
      </c>
    </row>
    <row r="44" spans="1:42" ht="30" customHeight="1">
      <c r="A44" s="22" t="s">
        <v>12</v>
      </c>
      <c r="B44" s="15">
        <v>0</v>
      </c>
      <c r="C44" s="15">
        <v>2</v>
      </c>
      <c r="D44" s="15">
        <v>1</v>
      </c>
      <c r="E44" s="15">
        <v>0</v>
      </c>
      <c r="F44" s="15">
        <v>0</v>
      </c>
      <c r="G44" s="15">
        <v>1</v>
      </c>
      <c r="H44" s="15">
        <v>0</v>
      </c>
      <c r="I44" s="15">
        <v>0</v>
      </c>
      <c r="J44" s="15">
        <f>SUM(B44:I44)</f>
        <v>4</v>
      </c>
      <c r="K44" s="15"/>
      <c r="L44" s="141"/>
      <c r="M44" s="57" t="s">
        <v>12</v>
      </c>
      <c r="N44" s="49">
        <v>0</v>
      </c>
      <c r="O44" s="49">
        <v>1</v>
      </c>
      <c r="P44" s="49">
        <v>3</v>
      </c>
      <c r="Q44" s="49">
        <v>4</v>
      </c>
      <c r="R44" s="49">
        <v>5</v>
      </c>
      <c r="S44" s="49">
        <v>8</v>
      </c>
      <c r="T44" s="49">
        <v>12</v>
      </c>
      <c r="U44" s="49">
        <v>13</v>
      </c>
      <c r="V44" s="49">
        <v>11</v>
      </c>
      <c r="W44" s="49">
        <v>8</v>
      </c>
      <c r="X44" s="49">
        <v>11</v>
      </c>
      <c r="Y44" s="49">
        <v>11</v>
      </c>
      <c r="Z44" s="52">
        <f>SUM(N44:Y44)</f>
        <v>87</v>
      </c>
      <c r="AA44" s="52"/>
      <c r="AB44" s="163"/>
      <c r="AC44" s="76" t="s">
        <v>12</v>
      </c>
      <c r="AD44" s="74">
        <v>3</v>
      </c>
      <c r="AE44" s="74">
        <v>4</v>
      </c>
      <c r="AF44" s="74">
        <v>5</v>
      </c>
      <c r="AG44" s="74">
        <v>7</v>
      </c>
      <c r="AH44" s="74">
        <v>10</v>
      </c>
      <c r="AI44" s="74">
        <v>13</v>
      </c>
      <c r="AJ44" s="74">
        <v>15</v>
      </c>
      <c r="AK44" s="74">
        <v>17</v>
      </c>
      <c r="AL44" s="74">
        <v>18</v>
      </c>
      <c r="AM44" s="74">
        <v>15</v>
      </c>
      <c r="AN44" s="74">
        <v>13</v>
      </c>
      <c r="AO44" s="74">
        <v>12</v>
      </c>
      <c r="AP44" s="74">
        <f t="shared" si="46"/>
        <v>132</v>
      </c>
    </row>
    <row r="45" spans="1:42" ht="30" customHeight="1">
      <c r="A45" s="22" t="s">
        <v>13</v>
      </c>
      <c r="B45" s="15">
        <v>0</v>
      </c>
      <c r="C45" s="15">
        <f>C43/C44</f>
        <v>20450</v>
      </c>
      <c r="D45" s="15">
        <f>D43/D44</f>
        <v>54000</v>
      </c>
      <c r="E45" s="15">
        <v>0</v>
      </c>
      <c r="F45" s="15">
        <v>0</v>
      </c>
      <c r="G45" s="15">
        <f>G43/G44</f>
        <v>29000</v>
      </c>
      <c r="H45" s="15">
        <v>0</v>
      </c>
      <c r="I45" s="15">
        <v>0</v>
      </c>
      <c r="J45" s="15">
        <f>J43/J44</f>
        <v>30975</v>
      </c>
      <c r="K45" s="15"/>
      <c r="L45" s="141"/>
      <c r="M45" s="57" t="s">
        <v>13</v>
      </c>
      <c r="N45" s="49">
        <v>0</v>
      </c>
      <c r="O45" s="49">
        <v>40000</v>
      </c>
      <c r="P45" s="49">
        <v>40000</v>
      </c>
      <c r="Q45" s="49">
        <v>40000</v>
      </c>
      <c r="R45" s="49">
        <v>40000</v>
      </c>
      <c r="S45" s="49">
        <v>40000</v>
      </c>
      <c r="T45" s="49">
        <v>40000</v>
      </c>
      <c r="U45" s="49">
        <v>40000</v>
      </c>
      <c r="V45" s="49">
        <v>40000</v>
      </c>
      <c r="W45" s="49">
        <v>40000</v>
      </c>
      <c r="X45" s="49">
        <v>40000</v>
      </c>
      <c r="Y45" s="49">
        <v>40000</v>
      </c>
      <c r="Z45" s="52">
        <f>Z43/Z44</f>
        <v>40000</v>
      </c>
      <c r="AA45" s="52"/>
      <c r="AB45" s="163"/>
      <c r="AC45" s="76" t="s">
        <v>13</v>
      </c>
      <c r="AD45" s="74">
        <v>40000</v>
      </c>
      <c r="AE45" s="74">
        <v>40000</v>
      </c>
      <c r="AF45" s="74">
        <v>40000</v>
      </c>
      <c r="AG45" s="74">
        <v>43000</v>
      </c>
      <c r="AH45" s="74">
        <v>43000</v>
      </c>
      <c r="AI45" s="74">
        <v>43900</v>
      </c>
      <c r="AJ45" s="74">
        <v>44800</v>
      </c>
      <c r="AK45" s="74">
        <v>45700</v>
      </c>
      <c r="AL45" s="74">
        <v>46600</v>
      </c>
      <c r="AM45" s="74">
        <v>47500</v>
      </c>
      <c r="AN45" s="74">
        <v>48400</v>
      </c>
      <c r="AO45" s="74">
        <v>49300</v>
      </c>
      <c r="AP45" s="74">
        <f>AP43/AP44</f>
        <v>45475</v>
      </c>
    </row>
    <row r="46" spans="1:42" ht="30" customHeight="1">
      <c r="A46" s="125" t="s">
        <v>70</v>
      </c>
      <c r="B46" s="126"/>
      <c r="C46" s="126"/>
      <c r="D46" s="126"/>
      <c r="E46" s="126"/>
      <c r="F46" s="126"/>
      <c r="G46" s="126"/>
      <c r="H46" s="126"/>
      <c r="I46" s="126"/>
      <c r="J46" s="127"/>
      <c r="K46" s="103"/>
      <c r="L46" s="141"/>
      <c r="M46" s="164" t="s">
        <v>70</v>
      </c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6"/>
      <c r="AA46" s="100"/>
      <c r="AB46" s="163"/>
      <c r="AC46" s="167" t="s">
        <v>70</v>
      </c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9"/>
    </row>
    <row r="47" spans="1:42" ht="30" customHeight="1">
      <c r="A47" s="11" t="s">
        <v>57</v>
      </c>
      <c r="B47" s="12">
        <f>B50+B53</f>
        <v>111805</v>
      </c>
      <c r="C47" s="12">
        <f t="shared" ref="C47:J47" si="55">C50+C53</f>
        <v>204900</v>
      </c>
      <c r="D47" s="12">
        <f t="shared" si="55"/>
        <v>247000</v>
      </c>
      <c r="E47" s="12">
        <f t="shared" si="55"/>
        <v>83070</v>
      </c>
      <c r="F47" s="12">
        <f t="shared" si="55"/>
        <v>345200</v>
      </c>
      <c r="G47" s="12">
        <f t="shared" si="55"/>
        <v>46620</v>
      </c>
      <c r="H47" s="12">
        <f t="shared" si="55"/>
        <v>150200</v>
      </c>
      <c r="I47" s="12">
        <f t="shared" si="55"/>
        <v>86400</v>
      </c>
      <c r="J47" s="12">
        <f t="shared" si="55"/>
        <v>1275195</v>
      </c>
      <c r="K47" s="12"/>
      <c r="L47" s="141"/>
      <c r="M47" s="46" t="s">
        <v>57</v>
      </c>
      <c r="N47" s="46">
        <f>N50+N53</f>
        <v>0</v>
      </c>
      <c r="O47" s="47">
        <v>0</v>
      </c>
      <c r="P47" s="47">
        <f>P50+P53</f>
        <v>77906</v>
      </c>
      <c r="Q47" s="47">
        <f t="shared" ref="Q47:Z47" si="56">Q50+Q53</f>
        <v>249765</v>
      </c>
      <c r="R47" s="47">
        <f t="shared" si="56"/>
        <v>509530</v>
      </c>
      <c r="S47" s="47">
        <f t="shared" si="56"/>
        <v>961154</v>
      </c>
      <c r="T47" s="47">
        <f t="shared" si="56"/>
        <v>1432778</v>
      </c>
      <c r="U47" s="47">
        <f t="shared" si="56"/>
        <v>2081261</v>
      </c>
      <c r="V47" s="47">
        <f t="shared" si="56"/>
        <v>2126026</v>
      </c>
      <c r="W47" s="47">
        <f t="shared" si="56"/>
        <v>669530</v>
      </c>
      <c r="X47" s="47">
        <f t="shared" si="56"/>
        <v>959060</v>
      </c>
      <c r="Y47" s="47">
        <f t="shared" si="56"/>
        <v>155812</v>
      </c>
      <c r="Z47" s="47">
        <f t="shared" si="56"/>
        <v>9222822</v>
      </c>
      <c r="AA47" s="93"/>
      <c r="AB47" s="163"/>
      <c r="AC47" s="72" t="s">
        <v>57</v>
      </c>
      <c r="AD47" s="71">
        <v>0</v>
      </c>
      <c r="AE47" s="71">
        <v>0</v>
      </c>
      <c r="AF47" s="73">
        <f>AF50+AF53</f>
        <v>326859</v>
      </c>
      <c r="AG47" s="73">
        <f t="shared" ref="AG47:AP47" si="57">AG50+AG53</f>
        <v>513718</v>
      </c>
      <c r="AH47" s="73">
        <f t="shared" si="57"/>
        <v>1047024</v>
      </c>
      <c r="AI47" s="73">
        <f t="shared" si="57"/>
        <v>1979744</v>
      </c>
      <c r="AJ47" s="73">
        <f t="shared" si="57"/>
        <v>2839616</v>
      </c>
      <c r="AK47" s="73">
        <f t="shared" si="57"/>
        <v>3893032</v>
      </c>
      <c r="AL47" s="73">
        <f t="shared" si="57"/>
        <v>5100056</v>
      </c>
      <c r="AM47" s="73">
        <f t="shared" si="57"/>
        <v>2385504</v>
      </c>
      <c r="AN47" s="73">
        <f t="shared" si="57"/>
        <v>719936</v>
      </c>
      <c r="AO47" s="73">
        <f t="shared" si="57"/>
        <v>494240</v>
      </c>
      <c r="AP47" s="73">
        <f t="shared" si="57"/>
        <v>19299729</v>
      </c>
    </row>
    <row r="48" spans="1:42" ht="30" customHeight="1">
      <c r="A48" s="13" t="s">
        <v>12</v>
      </c>
      <c r="B48" s="14">
        <f>B51+B54</f>
        <v>10</v>
      </c>
      <c r="C48" s="14">
        <f t="shared" ref="C48:J48" si="58">C51+C54</f>
        <v>10</v>
      </c>
      <c r="D48" s="14">
        <f t="shared" si="58"/>
        <v>8</v>
      </c>
      <c r="E48" s="14">
        <f t="shared" si="58"/>
        <v>4</v>
      </c>
      <c r="F48" s="14">
        <f t="shared" si="58"/>
        <v>7</v>
      </c>
      <c r="G48" s="14">
        <f t="shared" si="58"/>
        <v>1</v>
      </c>
      <c r="H48" s="14">
        <f t="shared" si="58"/>
        <v>5</v>
      </c>
      <c r="I48" s="14">
        <f t="shared" si="58"/>
        <v>2</v>
      </c>
      <c r="J48" s="14">
        <f t="shared" si="58"/>
        <v>47</v>
      </c>
      <c r="K48" s="14"/>
      <c r="L48" s="141"/>
      <c r="M48" s="48" t="s">
        <v>12</v>
      </c>
      <c r="N48" s="45">
        <v>0</v>
      </c>
      <c r="O48" s="49">
        <v>0</v>
      </c>
      <c r="P48" s="49">
        <f>P51+P54</f>
        <v>2</v>
      </c>
      <c r="Q48" s="49">
        <f t="shared" ref="Q48:Z48" si="59">Q51+Q54</f>
        <v>6</v>
      </c>
      <c r="R48" s="49">
        <f t="shared" si="59"/>
        <v>12</v>
      </c>
      <c r="S48" s="49">
        <f t="shared" si="59"/>
        <v>22</v>
      </c>
      <c r="T48" s="49">
        <f t="shared" si="59"/>
        <v>32</v>
      </c>
      <c r="U48" s="49">
        <f t="shared" si="59"/>
        <v>45</v>
      </c>
      <c r="V48" s="49">
        <f t="shared" si="59"/>
        <v>49</v>
      </c>
      <c r="W48" s="49">
        <f t="shared" si="59"/>
        <v>14</v>
      </c>
      <c r="X48" s="49">
        <f t="shared" si="59"/>
        <v>23</v>
      </c>
      <c r="Y48" s="49">
        <f t="shared" si="59"/>
        <v>4</v>
      </c>
      <c r="Z48" s="49">
        <f t="shared" si="59"/>
        <v>209</v>
      </c>
      <c r="AA48" s="49"/>
      <c r="AB48" s="163"/>
      <c r="AC48" s="89" t="s">
        <v>12</v>
      </c>
      <c r="AD48" s="70">
        <v>0</v>
      </c>
      <c r="AE48" s="70">
        <v>0</v>
      </c>
      <c r="AF48" s="74">
        <f>AF51+AF54</f>
        <v>6</v>
      </c>
      <c r="AG48" s="74">
        <f t="shared" ref="AG48:AP48" si="60">AG51+AG54</f>
        <v>10</v>
      </c>
      <c r="AH48" s="74">
        <f t="shared" si="60"/>
        <v>20</v>
      </c>
      <c r="AI48" s="74">
        <f t="shared" si="60"/>
        <v>40</v>
      </c>
      <c r="AJ48" s="74">
        <f t="shared" si="60"/>
        <v>58</v>
      </c>
      <c r="AK48" s="74">
        <f t="shared" si="60"/>
        <v>80</v>
      </c>
      <c r="AL48" s="74">
        <f t="shared" si="60"/>
        <v>103</v>
      </c>
      <c r="AM48" s="74">
        <f t="shared" si="60"/>
        <v>43</v>
      </c>
      <c r="AN48" s="74">
        <f t="shared" si="60"/>
        <v>13</v>
      </c>
      <c r="AO48" s="74">
        <f t="shared" si="60"/>
        <v>9</v>
      </c>
      <c r="AP48" s="74">
        <f t="shared" si="60"/>
        <v>382</v>
      </c>
    </row>
    <row r="49" spans="1:42" ht="30" customHeight="1">
      <c r="A49" s="13" t="s">
        <v>13</v>
      </c>
      <c r="B49" s="14">
        <f>B47/B48</f>
        <v>11180.5</v>
      </c>
      <c r="C49" s="14">
        <f t="shared" ref="C49:J49" si="61">C47/C48</f>
        <v>20490</v>
      </c>
      <c r="D49" s="14">
        <f t="shared" si="61"/>
        <v>30875</v>
      </c>
      <c r="E49" s="14">
        <f t="shared" si="61"/>
        <v>20767.5</v>
      </c>
      <c r="F49" s="14">
        <f t="shared" si="61"/>
        <v>49314.285714285717</v>
      </c>
      <c r="G49" s="14">
        <f t="shared" si="61"/>
        <v>46620</v>
      </c>
      <c r="H49" s="14">
        <f t="shared" si="61"/>
        <v>30040</v>
      </c>
      <c r="I49" s="14">
        <f t="shared" si="61"/>
        <v>43200</v>
      </c>
      <c r="J49" s="14">
        <f t="shared" si="61"/>
        <v>27131.808510638297</v>
      </c>
      <c r="K49" s="14"/>
      <c r="L49" s="141"/>
      <c r="M49" s="48" t="s">
        <v>13</v>
      </c>
      <c r="N49" s="45">
        <v>0</v>
      </c>
      <c r="O49" s="49">
        <v>0</v>
      </c>
      <c r="P49" s="49">
        <f>P47/P48</f>
        <v>38953</v>
      </c>
      <c r="Q49" s="49">
        <f t="shared" ref="Q49:Y49" si="62">Q47/Q48</f>
        <v>41627.5</v>
      </c>
      <c r="R49" s="49">
        <f t="shared" si="62"/>
        <v>42460.833333333336</v>
      </c>
      <c r="S49" s="49">
        <f t="shared" si="62"/>
        <v>43688.818181818184</v>
      </c>
      <c r="T49" s="49">
        <f t="shared" si="62"/>
        <v>44774.3125</v>
      </c>
      <c r="U49" s="49">
        <f t="shared" si="62"/>
        <v>46250.244444444441</v>
      </c>
      <c r="V49" s="49">
        <f t="shared" si="62"/>
        <v>43388.285714285717</v>
      </c>
      <c r="W49" s="49">
        <f t="shared" si="62"/>
        <v>47823.571428571428</v>
      </c>
      <c r="X49" s="49">
        <f t="shared" si="62"/>
        <v>41698.260869565216</v>
      </c>
      <c r="Y49" s="49">
        <f t="shared" si="62"/>
        <v>38953</v>
      </c>
      <c r="Z49" s="49">
        <f>Z47/Z48</f>
        <v>44128.334928229662</v>
      </c>
      <c r="AA49" s="49"/>
      <c r="AB49" s="163"/>
      <c r="AC49" s="89" t="s">
        <v>13</v>
      </c>
      <c r="AD49" s="70">
        <v>0</v>
      </c>
      <c r="AE49" s="70">
        <v>0</v>
      </c>
      <c r="AF49" s="74">
        <f>AF47/AF48</f>
        <v>54476.5</v>
      </c>
      <c r="AG49" s="74">
        <f t="shared" ref="AG49:AP49" si="63">AG47/AG48</f>
        <v>51371.8</v>
      </c>
      <c r="AH49" s="74">
        <f t="shared" si="63"/>
        <v>52351.199999999997</v>
      </c>
      <c r="AI49" s="74">
        <f t="shared" si="63"/>
        <v>49493.599999999999</v>
      </c>
      <c r="AJ49" s="74">
        <f t="shared" si="63"/>
        <v>48958.896551724138</v>
      </c>
      <c r="AK49" s="74">
        <f t="shared" si="63"/>
        <v>48662.9</v>
      </c>
      <c r="AL49" s="74">
        <f t="shared" si="63"/>
        <v>49515.106796116503</v>
      </c>
      <c r="AM49" s="74">
        <f t="shared" si="63"/>
        <v>55476.837209302328</v>
      </c>
      <c r="AN49" s="74">
        <f t="shared" si="63"/>
        <v>55379.692307692305</v>
      </c>
      <c r="AO49" s="74">
        <f t="shared" si="63"/>
        <v>54915.555555555555</v>
      </c>
      <c r="AP49" s="74">
        <f t="shared" si="63"/>
        <v>50522.850785340313</v>
      </c>
    </row>
    <row r="50" spans="1:42" ht="30" customHeight="1">
      <c r="A50" s="23" t="s">
        <v>50</v>
      </c>
      <c r="B50" s="12">
        <v>111805</v>
      </c>
      <c r="C50" s="12">
        <v>204900</v>
      </c>
      <c r="D50" s="12">
        <v>166000</v>
      </c>
      <c r="E50" s="12">
        <v>83070</v>
      </c>
      <c r="F50" s="12">
        <v>202200</v>
      </c>
      <c r="G50" s="12">
        <v>46620</v>
      </c>
      <c r="H50" s="12">
        <v>102200</v>
      </c>
      <c r="I50" s="12">
        <v>86400</v>
      </c>
      <c r="J50" s="12">
        <f>SUM(B50:I50)</f>
        <v>1003195</v>
      </c>
      <c r="K50" s="12"/>
      <c r="L50" s="141"/>
      <c r="M50" s="58" t="s">
        <v>50</v>
      </c>
      <c r="N50" s="46">
        <v>0</v>
      </c>
      <c r="O50" s="47">
        <v>0</v>
      </c>
      <c r="P50" s="47">
        <f>P51*P52</f>
        <v>77906</v>
      </c>
      <c r="Q50" s="47">
        <f t="shared" ref="Q50:Y50" si="64">Q51*Q52</f>
        <v>194765</v>
      </c>
      <c r="R50" s="47">
        <f t="shared" si="64"/>
        <v>389530</v>
      </c>
      <c r="S50" s="47">
        <f t="shared" si="64"/>
        <v>701154</v>
      </c>
      <c r="T50" s="47">
        <f t="shared" si="64"/>
        <v>1012778</v>
      </c>
      <c r="U50" s="47">
        <f t="shared" si="64"/>
        <v>1441261</v>
      </c>
      <c r="V50" s="47">
        <f t="shared" si="64"/>
        <v>1636026</v>
      </c>
      <c r="W50" s="47">
        <f t="shared" si="64"/>
        <v>389530</v>
      </c>
      <c r="X50" s="47">
        <f t="shared" si="64"/>
        <v>779060</v>
      </c>
      <c r="Y50" s="47">
        <f t="shared" si="64"/>
        <v>155812</v>
      </c>
      <c r="Z50" s="47">
        <f>SUM(P50:Y50)</f>
        <v>6777822</v>
      </c>
      <c r="AA50" s="93"/>
      <c r="AB50" s="163"/>
      <c r="AC50" s="72" t="s">
        <v>50</v>
      </c>
      <c r="AD50" s="71">
        <v>0</v>
      </c>
      <c r="AE50" s="71">
        <v>0</v>
      </c>
      <c r="AF50" s="73">
        <f>AF51*AF52</f>
        <v>116859</v>
      </c>
      <c r="AG50" s="73">
        <f t="shared" ref="AG50:AO50" si="65">AG51*AG52</f>
        <v>233718</v>
      </c>
      <c r="AH50" s="73">
        <f t="shared" si="65"/>
        <v>557024</v>
      </c>
      <c r="AI50" s="73">
        <f t="shared" si="65"/>
        <v>1199744</v>
      </c>
      <c r="AJ50" s="73">
        <f t="shared" si="65"/>
        <v>1799616</v>
      </c>
      <c r="AK50" s="73">
        <f t="shared" si="65"/>
        <v>2528032</v>
      </c>
      <c r="AL50" s="73">
        <f t="shared" si="65"/>
        <v>3085056</v>
      </c>
      <c r="AM50" s="73">
        <f t="shared" si="65"/>
        <v>985504</v>
      </c>
      <c r="AN50" s="73">
        <f t="shared" si="65"/>
        <v>299936</v>
      </c>
      <c r="AO50" s="73">
        <f t="shared" si="65"/>
        <v>214240</v>
      </c>
      <c r="AP50" s="73">
        <f t="shared" ref="AP50:AP53" si="66">SUM(AF50:AO50)</f>
        <v>11019729</v>
      </c>
    </row>
    <row r="51" spans="1:42" ht="30" customHeight="1">
      <c r="A51" s="22" t="s">
        <v>12</v>
      </c>
      <c r="B51" s="15">
        <v>10</v>
      </c>
      <c r="C51" s="15">
        <v>10</v>
      </c>
      <c r="D51" s="15">
        <v>6</v>
      </c>
      <c r="E51" s="15">
        <v>4</v>
      </c>
      <c r="F51" s="15">
        <v>5</v>
      </c>
      <c r="G51" s="15">
        <v>1</v>
      </c>
      <c r="H51" s="15">
        <v>4</v>
      </c>
      <c r="I51" s="15">
        <v>2</v>
      </c>
      <c r="J51" s="15">
        <f>SUM(B51:I51)</f>
        <v>42</v>
      </c>
      <c r="K51" s="15"/>
      <c r="L51" s="141"/>
      <c r="M51" s="57" t="s">
        <v>12</v>
      </c>
      <c r="N51" s="45">
        <v>0</v>
      </c>
      <c r="O51" s="49">
        <v>0</v>
      </c>
      <c r="P51" s="49">
        <v>2</v>
      </c>
      <c r="Q51" s="49">
        <v>5</v>
      </c>
      <c r="R51" s="49">
        <v>10</v>
      </c>
      <c r="S51" s="49">
        <v>18</v>
      </c>
      <c r="T51" s="49">
        <v>26</v>
      </c>
      <c r="U51" s="49">
        <v>37</v>
      </c>
      <c r="V51" s="49">
        <v>42</v>
      </c>
      <c r="W51" s="49">
        <v>10</v>
      </c>
      <c r="X51" s="49">
        <v>20</v>
      </c>
      <c r="Y51" s="49">
        <v>4</v>
      </c>
      <c r="Z51" s="49">
        <f>SUM(P51:Y51)</f>
        <v>174</v>
      </c>
      <c r="AA51" s="49"/>
      <c r="AB51" s="163"/>
      <c r="AC51" s="76" t="s">
        <v>12</v>
      </c>
      <c r="AD51" s="70">
        <v>0</v>
      </c>
      <c r="AE51" s="70">
        <v>0</v>
      </c>
      <c r="AF51" s="74">
        <v>3</v>
      </c>
      <c r="AG51" s="74">
        <v>6</v>
      </c>
      <c r="AH51" s="74">
        <v>13</v>
      </c>
      <c r="AI51" s="74">
        <v>28</v>
      </c>
      <c r="AJ51" s="74">
        <v>42</v>
      </c>
      <c r="AK51" s="74">
        <v>59</v>
      </c>
      <c r="AL51" s="74">
        <v>72</v>
      </c>
      <c r="AM51" s="74">
        <v>23</v>
      </c>
      <c r="AN51" s="74">
        <v>7</v>
      </c>
      <c r="AO51" s="74">
        <v>5</v>
      </c>
      <c r="AP51" s="74">
        <f t="shared" si="66"/>
        <v>258</v>
      </c>
    </row>
    <row r="52" spans="1:42" ht="30" customHeight="1">
      <c r="A52" s="22" t="s">
        <v>13</v>
      </c>
      <c r="B52" s="15">
        <f t="shared" ref="B52:H52" si="67">B50/B51</f>
        <v>11180.5</v>
      </c>
      <c r="C52" s="15">
        <f t="shared" si="67"/>
        <v>20490</v>
      </c>
      <c r="D52" s="15">
        <f t="shared" si="67"/>
        <v>27666.666666666668</v>
      </c>
      <c r="E52" s="15">
        <f t="shared" si="67"/>
        <v>20767.5</v>
      </c>
      <c r="F52" s="15">
        <f t="shared" si="67"/>
        <v>40440</v>
      </c>
      <c r="G52" s="15">
        <f t="shared" si="67"/>
        <v>46620</v>
      </c>
      <c r="H52" s="15">
        <f t="shared" si="67"/>
        <v>25550</v>
      </c>
      <c r="I52" s="15">
        <f>I50/I51</f>
        <v>43200</v>
      </c>
      <c r="J52" s="15">
        <f>J50/J51</f>
        <v>23885.595238095237</v>
      </c>
      <c r="K52" s="15"/>
      <c r="L52" s="141"/>
      <c r="M52" s="57" t="s">
        <v>13</v>
      </c>
      <c r="N52" s="45">
        <v>0</v>
      </c>
      <c r="O52" s="49">
        <v>0</v>
      </c>
      <c r="P52" s="49">
        <v>38953</v>
      </c>
      <c r="Q52" s="49">
        <v>38953</v>
      </c>
      <c r="R52" s="49">
        <v>38953</v>
      </c>
      <c r="S52" s="49">
        <v>38953</v>
      </c>
      <c r="T52" s="49">
        <v>38953</v>
      </c>
      <c r="U52" s="49">
        <v>38953</v>
      </c>
      <c r="V52" s="49">
        <v>38953</v>
      </c>
      <c r="W52" s="49">
        <v>38953</v>
      </c>
      <c r="X52" s="49">
        <v>38953</v>
      </c>
      <c r="Y52" s="49">
        <v>38953</v>
      </c>
      <c r="Z52" s="49">
        <f>Z50/Z51</f>
        <v>38953</v>
      </c>
      <c r="AA52" s="49"/>
      <c r="AB52" s="163"/>
      <c r="AC52" s="76" t="s">
        <v>13</v>
      </c>
      <c r="AD52" s="70">
        <v>0</v>
      </c>
      <c r="AE52" s="70">
        <v>0</v>
      </c>
      <c r="AF52" s="74">
        <v>38953</v>
      </c>
      <c r="AG52" s="74">
        <v>38953</v>
      </c>
      <c r="AH52" s="74">
        <v>42848</v>
      </c>
      <c r="AI52" s="74">
        <v>42848</v>
      </c>
      <c r="AJ52" s="74">
        <v>42848</v>
      </c>
      <c r="AK52" s="74">
        <v>42848</v>
      </c>
      <c r="AL52" s="74">
        <v>42848</v>
      </c>
      <c r="AM52" s="74">
        <v>42848</v>
      </c>
      <c r="AN52" s="74">
        <v>42848</v>
      </c>
      <c r="AO52" s="74">
        <v>42848</v>
      </c>
      <c r="AP52" s="74">
        <f>AP50/AP51</f>
        <v>42712.127906976741</v>
      </c>
    </row>
    <row r="53" spans="1:42" ht="30" customHeight="1">
      <c r="A53" s="23" t="s">
        <v>49</v>
      </c>
      <c r="B53" s="12">
        <v>0</v>
      </c>
      <c r="C53" s="12">
        <v>0</v>
      </c>
      <c r="D53" s="12">
        <v>81000</v>
      </c>
      <c r="E53" s="12">
        <v>0</v>
      </c>
      <c r="F53" s="12">
        <v>143000</v>
      </c>
      <c r="G53" s="12">
        <v>0</v>
      </c>
      <c r="H53" s="12">
        <v>48000</v>
      </c>
      <c r="I53" s="12">
        <v>0</v>
      </c>
      <c r="J53" s="12">
        <f t="shared" ref="J53:J54" si="68">SUM(B53:I53)</f>
        <v>272000</v>
      </c>
      <c r="K53" s="12"/>
      <c r="L53" s="141"/>
      <c r="M53" s="58" t="s">
        <v>49</v>
      </c>
      <c r="N53" s="46">
        <v>0</v>
      </c>
      <c r="O53" s="47">
        <v>0</v>
      </c>
      <c r="P53" s="47">
        <v>0</v>
      </c>
      <c r="Q53" s="47">
        <f>Q54*Q55</f>
        <v>55000</v>
      </c>
      <c r="R53" s="47">
        <f t="shared" ref="R53:Y53" si="69">R54*R55</f>
        <v>120000</v>
      </c>
      <c r="S53" s="47">
        <f t="shared" si="69"/>
        <v>260000</v>
      </c>
      <c r="T53" s="47">
        <f t="shared" si="69"/>
        <v>420000</v>
      </c>
      <c r="U53" s="47">
        <f t="shared" si="69"/>
        <v>640000</v>
      </c>
      <c r="V53" s="47">
        <f t="shared" si="69"/>
        <v>490000</v>
      </c>
      <c r="W53" s="47">
        <f t="shared" si="69"/>
        <v>280000</v>
      </c>
      <c r="X53" s="47">
        <f t="shared" si="69"/>
        <v>180000</v>
      </c>
      <c r="Y53" s="47">
        <f t="shared" si="69"/>
        <v>0</v>
      </c>
      <c r="Z53" s="47">
        <f>SUM(Q53:Y53)</f>
        <v>2445000</v>
      </c>
      <c r="AA53" s="93"/>
      <c r="AB53" s="163"/>
      <c r="AC53" s="72" t="s">
        <v>49</v>
      </c>
      <c r="AD53" s="71">
        <v>0</v>
      </c>
      <c r="AE53" s="71">
        <v>0</v>
      </c>
      <c r="AF53" s="73">
        <f>AF54*AF55</f>
        <v>210000</v>
      </c>
      <c r="AG53" s="73">
        <f t="shared" ref="AG53:AO53" si="70">AG54*AG55</f>
        <v>280000</v>
      </c>
      <c r="AH53" s="73">
        <f t="shared" si="70"/>
        <v>490000</v>
      </c>
      <c r="AI53" s="73">
        <f t="shared" si="70"/>
        <v>780000</v>
      </c>
      <c r="AJ53" s="73">
        <f t="shared" si="70"/>
        <v>1040000</v>
      </c>
      <c r="AK53" s="73">
        <f t="shared" si="70"/>
        <v>1365000</v>
      </c>
      <c r="AL53" s="73">
        <f t="shared" si="70"/>
        <v>2015000</v>
      </c>
      <c r="AM53" s="73">
        <f t="shared" si="70"/>
        <v>1400000</v>
      </c>
      <c r="AN53" s="73">
        <f t="shared" si="70"/>
        <v>420000</v>
      </c>
      <c r="AO53" s="73">
        <f t="shared" si="70"/>
        <v>280000</v>
      </c>
      <c r="AP53" s="73">
        <f t="shared" si="66"/>
        <v>8280000</v>
      </c>
    </row>
    <row r="54" spans="1:42" ht="30" customHeight="1">
      <c r="A54" s="22" t="s">
        <v>12</v>
      </c>
      <c r="B54" s="15">
        <v>0</v>
      </c>
      <c r="C54" s="15">
        <v>0</v>
      </c>
      <c r="D54" s="15">
        <v>2</v>
      </c>
      <c r="E54" s="15">
        <v>0</v>
      </c>
      <c r="F54" s="15">
        <v>2</v>
      </c>
      <c r="G54" s="15">
        <v>0</v>
      </c>
      <c r="H54" s="15">
        <v>1</v>
      </c>
      <c r="I54" s="15">
        <v>0</v>
      </c>
      <c r="J54" s="15">
        <f t="shared" si="68"/>
        <v>5</v>
      </c>
      <c r="K54" s="15"/>
      <c r="L54" s="141"/>
      <c r="M54" s="57" t="s">
        <v>12</v>
      </c>
      <c r="N54" s="45">
        <v>0</v>
      </c>
      <c r="O54" s="49">
        <v>0</v>
      </c>
      <c r="P54" s="49">
        <v>0</v>
      </c>
      <c r="Q54" s="49">
        <v>1</v>
      </c>
      <c r="R54" s="49">
        <v>2</v>
      </c>
      <c r="S54" s="49">
        <v>4</v>
      </c>
      <c r="T54" s="49">
        <v>6</v>
      </c>
      <c r="U54" s="49">
        <v>8</v>
      </c>
      <c r="V54" s="49">
        <v>7</v>
      </c>
      <c r="W54" s="49">
        <v>4</v>
      </c>
      <c r="X54" s="49">
        <v>3</v>
      </c>
      <c r="Y54" s="49">
        <v>0</v>
      </c>
      <c r="Z54" s="49">
        <f>SUM(N54:Y54)</f>
        <v>35</v>
      </c>
      <c r="AA54" s="49"/>
      <c r="AB54" s="163"/>
      <c r="AC54" s="76" t="s">
        <v>12</v>
      </c>
      <c r="AD54" s="70">
        <v>0</v>
      </c>
      <c r="AE54" s="70">
        <v>0</v>
      </c>
      <c r="AF54" s="74">
        <v>3</v>
      </c>
      <c r="AG54" s="74">
        <v>4</v>
      </c>
      <c r="AH54" s="74">
        <v>7</v>
      </c>
      <c r="AI54" s="74">
        <v>12</v>
      </c>
      <c r="AJ54" s="74">
        <v>16</v>
      </c>
      <c r="AK54" s="74">
        <v>21</v>
      </c>
      <c r="AL54" s="74">
        <v>31</v>
      </c>
      <c r="AM54" s="74">
        <v>20</v>
      </c>
      <c r="AN54" s="74">
        <v>6</v>
      </c>
      <c r="AO54" s="74">
        <v>4</v>
      </c>
      <c r="AP54" s="74">
        <f t="shared" ref="AP54:AP56" si="71">SUM(AF54:AO54)</f>
        <v>124</v>
      </c>
    </row>
    <row r="55" spans="1:42" ht="30" customHeight="1">
      <c r="A55" s="22" t="s">
        <v>13</v>
      </c>
      <c r="B55" s="15">
        <v>0</v>
      </c>
      <c r="C55" s="15">
        <v>0</v>
      </c>
      <c r="D55" s="15">
        <f>D53/D54</f>
        <v>40500</v>
      </c>
      <c r="E55" s="15">
        <v>0</v>
      </c>
      <c r="F55" s="15">
        <f>F53/F54</f>
        <v>71500</v>
      </c>
      <c r="G55" s="15">
        <v>0</v>
      </c>
      <c r="H55" s="15">
        <f>H53/H54</f>
        <v>48000</v>
      </c>
      <c r="I55" s="15">
        <v>0</v>
      </c>
      <c r="J55" s="15">
        <f>J53/J54</f>
        <v>54400</v>
      </c>
      <c r="K55" s="15"/>
      <c r="L55" s="141"/>
      <c r="M55" s="57" t="s">
        <v>13</v>
      </c>
      <c r="N55" s="45">
        <v>0</v>
      </c>
      <c r="O55" s="49">
        <v>0</v>
      </c>
      <c r="P55" s="49">
        <v>0</v>
      </c>
      <c r="Q55" s="49">
        <v>55000</v>
      </c>
      <c r="R55" s="49">
        <v>60000</v>
      </c>
      <c r="S55" s="49">
        <v>65000</v>
      </c>
      <c r="T55" s="49">
        <v>70000</v>
      </c>
      <c r="U55" s="49">
        <v>80000</v>
      </c>
      <c r="V55" s="49">
        <v>70000</v>
      </c>
      <c r="W55" s="49">
        <v>70000</v>
      </c>
      <c r="X55" s="49">
        <v>60000</v>
      </c>
      <c r="Y55" s="49">
        <v>0</v>
      </c>
      <c r="Z55" s="49">
        <f>Z53/Z54</f>
        <v>69857.142857142855</v>
      </c>
      <c r="AA55" s="49"/>
      <c r="AB55" s="163"/>
      <c r="AC55" s="76" t="s">
        <v>13</v>
      </c>
      <c r="AD55" s="70">
        <v>0</v>
      </c>
      <c r="AE55" s="70">
        <v>0</v>
      </c>
      <c r="AF55" s="74">
        <v>70000</v>
      </c>
      <c r="AG55" s="74">
        <v>70000</v>
      </c>
      <c r="AH55" s="74">
        <v>70000</v>
      </c>
      <c r="AI55" s="74">
        <v>65000</v>
      </c>
      <c r="AJ55" s="74">
        <v>65000</v>
      </c>
      <c r="AK55" s="74">
        <v>65000</v>
      </c>
      <c r="AL55" s="74">
        <v>65000</v>
      </c>
      <c r="AM55" s="74">
        <v>70000</v>
      </c>
      <c r="AN55" s="74">
        <v>70000</v>
      </c>
      <c r="AO55" s="74">
        <v>70000</v>
      </c>
      <c r="AP55" s="74">
        <f>AP53/AP54</f>
        <v>66774.193548387091</v>
      </c>
    </row>
    <row r="56" spans="1:42" ht="30" customHeight="1">
      <c r="A56" s="24" t="s">
        <v>1</v>
      </c>
      <c r="B56" s="25">
        <f>B58-B50-B40-B30-B8</f>
        <v>0</v>
      </c>
      <c r="C56" s="25">
        <v>98148</v>
      </c>
      <c r="D56" s="25">
        <v>30000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f>SUM(B56:I56)</f>
        <v>128148</v>
      </c>
      <c r="K56" s="25"/>
      <c r="L56" s="141"/>
      <c r="M56" s="56" t="s">
        <v>1</v>
      </c>
      <c r="N56" s="45">
        <v>0</v>
      </c>
      <c r="O56" s="45">
        <v>0</v>
      </c>
      <c r="P56" s="45">
        <v>0</v>
      </c>
      <c r="Q56" s="45">
        <v>0</v>
      </c>
      <c r="R56" s="45">
        <v>0</v>
      </c>
      <c r="S56" s="45">
        <v>0</v>
      </c>
      <c r="T56" s="45">
        <v>0</v>
      </c>
      <c r="U56" s="45">
        <v>0</v>
      </c>
      <c r="V56" s="45">
        <v>0</v>
      </c>
      <c r="W56" s="45">
        <v>0</v>
      </c>
      <c r="X56" s="45">
        <v>0</v>
      </c>
      <c r="Y56" s="45">
        <v>0</v>
      </c>
      <c r="Z56" s="45">
        <v>0</v>
      </c>
      <c r="AA56" s="45"/>
      <c r="AB56" s="163"/>
      <c r="AC56" s="69" t="s">
        <v>1</v>
      </c>
      <c r="AD56" s="70">
        <v>0</v>
      </c>
      <c r="AE56" s="70">
        <v>0</v>
      </c>
      <c r="AF56" s="74">
        <v>0</v>
      </c>
      <c r="AG56" s="74">
        <v>0</v>
      </c>
      <c r="AH56" s="74">
        <v>0</v>
      </c>
      <c r="AI56" s="74">
        <v>0</v>
      </c>
      <c r="AJ56" s="74">
        <v>0</v>
      </c>
      <c r="AK56" s="74">
        <v>0</v>
      </c>
      <c r="AL56" s="74">
        <v>0</v>
      </c>
      <c r="AM56" s="74">
        <v>0</v>
      </c>
      <c r="AN56" s="74">
        <v>0</v>
      </c>
      <c r="AO56" s="74">
        <v>0</v>
      </c>
      <c r="AP56" s="74">
        <f t="shared" si="71"/>
        <v>0</v>
      </c>
    </row>
    <row r="57" spans="1:42" ht="30" customHeight="1">
      <c r="A57" s="131" t="s">
        <v>5</v>
      </c>
      <c r="B57" s="132"/>
      <c r="C57" s="132"/>
      <c r="D57" s="132"/>
      <c r="E57" s="132"/>
      <c r="F57" s="132"/>
      <c r="G57" s="132"/>
      <c r="H57" s="132"/>
      <c r="I57" s="132"/>
      <c r="J57" s="133"/>
      <c r="K57" s="92"/>
      <c r="L57" s="141"/>
      <c r="M57" s="157" t="s">
        <v>5</v>
      </c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9"/>
      <c r="AA57" s="97"/>
      <c r="AB57" s="163"/>
      <c r="AC57" s="167" t="s">
        <v>5</v>
      </c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9"/>
    </row>
    <row r="58" spans="1:42" ht="30" customHeight="1">
      <c r="A58" s="9" t="s">
        <v>5</v>
      </c>
      <c r="B58" s="10">
        <f t="shared" ref="B58:J58" si="72">B5</f>
        <v>1293499</v>
      </c>
      <c r="C58" s="10">
        <f t="shared" si="72"/>
        <v>3773653</v>
      </c>
      <c r="D58" s="10">
        <f t="shared" si="72"/>
        <v>3927880</v>
      </c>
      <c r="E58" s="10">
        <f t="shared" si="72"/>
        <v>3899366</v>
      </c>
      <c r="F58" s="10">
        <f t="shared" si="72"/>
        <v>2958988</v>
      </c>
      <c r="G58" s="10">
        <f t="shared" si="72"/>
        <v>1722164</v>
      </c>
      <c r="H58" s="10">
        <f t="shared" si="72"/>
        <v>1583595</v>
      </c>
      <c r="I58" s="10">
        <f t="shared" si="72"/>
        <v>2734859</v>
      </c>
      <c r="J58" s="10">
        <f t="shared" si="72"/>
        <v>21864004</v>
      </c>
      <c r="K58" s="10"/>
      <c r="L58" s="141"/>
      <c r="M58" s="46" t="s">
        <v>5</v>
      </c>
      <c r="N58" s="47">
        <f t="shared" ref="N58:Z58" si="73">N5</f>
        <v>1544324</v>
      </c>
      <c r="O58" s="47">
        <f t="shared" si="73"/>
        <v>7230266.5999999996</v>
      </c>
      <c r="P58" s="47">
        <f t="shared" si="73"/>
        <v>9824990.2214000002</v>
      </c>
      <c r="Q58" s="47">
        <f t="shared" si="73"/>
        <v>15642027.523536</v>
      </c>
      <c r="R58" s="47">
        <f t="shared" si="73"/>
        <v>21304415.754313279</v>
      </c>
      <c r="S58" s="47">
        <f t="shared" si="73"/>
        <v>26986263.477709182</v>
      </c>
      <c r="T58" s="47">
        <f t="shared" si="73"/>
        <v>36139050.220052771</v>
      </c>
      <c r="U58" s="47">
        <f t="shared" si="73"/>
        <v>44110747.353999794</v>
      </c>
      <c r="V58" s="47">
        <f t="shared" si="73"/>
        <v>45198006.001400009</v>
      </c>
      <c r="W58" s="47">
        <f t="shared" si="73"/>
        <v>40869844.001400009</v>
      </c>
      <c r="X58" s="47">
        <f t="shared" si="73"/>
        <v>45277318.710800007</v>
      </c>
      <c r="Y58" s="47">
        <f t="shared" si="73"/>
        <v>49914260.850800008</v>
      </c>
      <c r="Z58" s="47">
        <f t="shared" si="73"/>
        <v>344041514.71541107</v>
      </c>
      <c r="AA58" s="93"/>
      <c r="AB58" s="163"/>
      <c r="AC58" s="72" t="s">
        <v>5</v>
      </c>
      <c r="AD58" s="73">
        <f t="shared" ref="AD58:AP58" si="74">AD5</f>
        <v>51896506</v>
      </c>
      <c r="AE58" s="73">
        <f t="shared" si="74"/>
        <v>60550794</v>
      </c>
      <c r="AF58" s="73">
        <f t="shared" si="74"/>
        <v>66808507</v>
      </c>
      <c r="AG58" s="73">
        <f t="shared" si="74"/>
        <v>74648614</v>
      </c>
      <c r="AH58" s="73">
        <f t="shared" si="74"/>
        <v>81193211</v>
      </c>
      <c r="AI58" s="73">
        <f t="shared" si="74"/>
        <v>95384691</v>
      </c>
      <c r="AJ58" s="73">
        <f t="shared" si="74"/>
        <v>103267772</v>
      </c>
      <c r="AK58" s="73">
        <f t="shared" si="74"/>
        <v>113094330</v>
      </c>
      <c r="AL58" s="73">
        <f t="shared" si="74"/>
        <v>115626828</v>
      </c>
      <c r="AM58" s="73">
        <f t="shared" si="74"/>
        <v>115150851</v>
      </c>
      <c r="AN58" s="73">
        <f t="shared" si="74"/>
        <v>119037496</v>
      </c>
      <c r="AO58" s="73">
        <f t="shared" si="74"/>
        <v>130384867</v>
      </c>
      <c r="AP58" s="73">
        <f t="shared" si="74"/>
        <v>1127044467</v>
      </c>
    </row>
    <row r="59" spans="1:42" ht="30" customHeight="1">
      <c r="A59" s="26" t="s">
        <v>42</v>
      </c>
      <c r="B59" s="27">
        <v>0</v>
      </c>
      <c r="C59" s="27">
        <v>0</v>
      </c>
      <c r="D59" s="27">
        <v>0</v>
      </c>
      <c r="E59" s="27">
        <v>0</v>
      </c>
      <c r="F59" s="27">
        <v>0</v>
      </c>
      <c r="G59" s="27">
        <v>0</v>
      </c>
      <c r="H59" s="27">
        <v>630944</v>
      </c>
      <c r="I59" s="27">
        <v>1021000</v>
      </c>
      <c r="J59" s="27">
        <f>H59+I59</f>
        <v>1651944</v>
      </c>
      <c r="K59" s="27"/>
      <c r="L59" s="141"/>
      <c r="M59" s="59" t="s">
        <v>42</v>
      </c>
      <c r="N59" s="60">
        <v>380000</v>
      </c>
      <c r="O59" s="60">
        <v>600000</v>
      </c>
      <c r="P59" s="60">
        <v>850000</v>
      </c>
      <c r="Q59" s="60">
        <v>1200000</v>
      </c>
      <c r="R59" s="60">
        <v>1500000</v>
      </c>
      <c r="S59" s="60">
        <v>1700000</v>
      </c>
      <c r="T59" s="60">
        <v>2500000</v>
      </c>
      <c r="U59" s="60">
        <v>2900000</v>
      </c>
      <c r="V59" s="60">
        <v>2400000</v>
      </c>
      <c r="W59" s="60">
        <v>2000000</v>
      </c>
      <c r="X59" s="60">
        <v>1700000</v>
      </c>
      <c r="Y59" s="60">
        <v>2500000</v>
      </c>
      <c r="Z59" s="60">
        <f>SUM(N59:Y59)</f>
        <v>20230000</v>
      </c>
      <c r="AA59" s="60"/>
      <c r="AB59" s="163"/>
      <c r="AC59" s="76" t="s">
        <v>42</v>
      </c>
      <c r="AD59" s="79">
        <v>1500000</v>
      </c>
      <c r="AE59" s="80">
        <v>1800000</v>
      </c>
      <c r="AF59" s="80">
        <f>AE59+400000</f>
        <v>2200000</v>
      </c>
      <c r="AG59" s="80">
        <f t="shared" ref="AG59:AK59" si="75">AF59+400000</f>
        <v>2600000</v>
      </c>
      <c r="AH59" s="80">
        <f t="shared" si="75"/>
        <v>3000000</v>
      </c>
      <c r="AI59" s="80">
        <f t="shared" si="75"/>
        <v>3400000</v>
      </c>
      <c r="AJ59" s="80">
        <f t="shared" si="75"/>
        <v>3800000</v>
      </c>
      <c r="AK59" s="80">
        <f t="shared" si="75"/>
        <v>4200000</v>
      </c>
      <c r="AL59" s="80">
        <v>3700000</v>
      </c>
      <c r="AM59" s="80">
        <v>3300000</v>
      </c>
      <c r="AN59" s="80">
        <v>2800000</v>
      </c>
      <c r="AO59" s="80">
        <v>4000000</v>
      </c>
      <c r="AP59" s="80">
        <f>SUM(AD59:AO59)</f>
        <v>36300000</v>
      </c>
    </row>
    <row r="60" spans="1:42" ht="30" customHeight="1">
      <c r="A60" s="26" t="s">
        <v>41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/>
      <c r="L60" s="141"/>
      <c r="M60" s="59" t="s">
        <v>41</v>
      </c>
      <c r="N60" s="60">
        <v>0</v>
      </c>
      <c r="O60" s="60">
        <v>0</v>
      </c>
      <c r="P60" s="60">
        <v>0</v>
      </c>
      <c r="Q60" s="60">
        <v>100000</v>
      </c>
      <c r="R60" s="60">
        <v>180000</v>
      </c>
      <c r="S60" s="60">
        <v>350000</v>
      </c>
      <c r="T60" s="60">
        <v>600000</v>
      </c>
      <c r="U60" s="60">
        <v>900000</v>
      </c>
      <c r="V60" s="60">
        <v>800000</v>
      </c>
      <c r="W60" s="60">
        <v>700000</v>
      </c>
      <c r="X60" s="60">
        <v>400000</v>
      </c>
      <c r="Y60" s="60">
        <v>800000</v>
      </c>
      <c r="Z60" s="60">
        <f>SUM(N60:Y60)</f>
        <v>4830000</v>
      </c>
      <c r="AA60" s="60"/>
      <c r="AB60" s="163"/>
      <c r="AC60" s="76" t="s">
        <v>41</v>
      </c>
      <c r="AD60" s="80">
        <v>300000</v>
      </c>
      <c r="AE60" s="80">
        <v>450000</v>
      </c>
      <c r="AF60" s="80">
        <v>700000</v>
      </c>
      <c r="AG60" s="80">
        <v>900000</v>
      </c>
      <c r="AH60" s="80">
        <v>1300000</v>
      </c>
      <c r="AI60" s="80">
        <v>1800000</v>
      </c>
      <c r="AJ60" s="80">
        <v>2300000</v>
      </c>
      <c r="AK60" s="80">
        <v>2700000</v>
      </c>
      <c r="AL60" s="80">
        <v>2500000</v>
      </c>
      <c r="AM60" s="80">
        <v>1700000</v>
      </c>
      <c r="AN60" s="80">
        <v>1400000</v>
      </c>
      <c r="AO60" s="80">
        <v>2600000</v>
      </c>
      <c r="AP60" s="80">
        <f t="shared" ref="AP60:AP61" si="76">SUM(AD60:AO60)</f>
        <v>18650000</v>
      </c>
    </row>
    <row r="61" spans="1:42" ht="90.75" customHeight="1">
      <c r="A61" s="28" t="s">
        <v>64</v>
      </c>
      <c r="B61" s="27">
        <v>0</v>
      </c>
      <c r="C61" s="27">
        <v>0</v>
      </c>
      <c r="D61" s="27">
        <v>0</v>
      </c>
      <c r="E61" s="27">
        <v>0</v>
      </c>
      <c r="F61" s="27">
        <v>107500</v>
      </c>
      <c r="G61" s="27">
        <v>0</v>
      </c>
      <c r="H61" s="27">
        <v>0</v>
      </c>
      <c r="I61" s="27">
        <v>85494</v>
      </c>
      <c r="J61" s="27">
        <f>F61+I61</f>
        <v>192994</v>
      </c>
      <c r="K61" s="27"/>
      <c r="L61" s="141"/>
      <c r="M61" s="61" t="s">
        <v>64</v>
      </c>
      <c r="N61" s="60">
        <v>0</v>
      </c>
      <c r="O61" s="60">
        <v>200000</v>
      </c>
      <c r="P61" s="60">
        <v>300000</v>
      </c>
      <c r="Q61" s="60">
        <v>500000</v>
      </c>
      <c r="R61" s="60">
        <v>700000</v>
      </c>
      <c r="S61" s="60">
        <v>1000000</v>
      </c>
      <c r="T61" s="60">
        <v>1500000</v>
      </c>
      <c r="U61" s="60">
        <v>2000000</v>
      </c>
      <c r="V61" s="60">
        <v>2500000</v>
      </c>
      <c r="W61" s="60">
        <v>2400000</v>
      </c>
      <c r="X61" s="60">
        <v>2000000</v>
      </c>
      <c r="Y61" s="60">
        <v>4000000</v>
      </c>
      <c r="Z61" s="60">
        <f>SUM(N61:Y61)</f>
        <v>17100000</v>
      </c>
      <c r="AA61" s="60"/>
      <c r="AB61" s="163"/>
      <c r="AC61" s="90" t="s">
        <v>64</v>
      </c>
      <c r="AD61" s="80">
        <v>1000000</v>
      </c>
      <c r="AE61" s="80">
        <v>1300000</v>
      </c>
      <c r="AF61" s="80">
        <v>1800000</v>
      </c>
      <c r="AG61" s="80">
        <v>2300000</v>
      </c>
      <c r="AH61" s="80">
        <v>2800000</v>
      </c>
      <c r="AI61" s="80">
        <v>3500000</v>
      </c>
      <c r="AJ61" s="80">
        <v>4200000</v>
      </c>
      <c r="AK61" s="80">
        <v>4500000</v>
      </c>
      <c r="AL61" s="80">
        <v>4000000</v>
      </c>
      <c r="AM61" s="80">
        <v>3600000</v>
      </c>
      <c r="AN61" s="80">
        <v>3000000</v>
      </c>
      <c r="AO61" s="80">
        <v>4800000</v>
      </c>
      <c r="AP61" s="80">
        <f t="shared" si="76"/>
        <v>36800000</v>
      </c>
    </row>
    <row r="62" spans="1:42" ht="30" customHeight="1">
      <c r="A62" s="128" t="s">
        <v>6</v>
      </c>
      <c r="B62" s="129"/>
      <c r="C62" s="129"/>
      <c r="D62" s="129"/>
      <c r="E62" s="129"/>
      <c r="F62" s="129"/>
      <c r="G62" s="129"/>
      <c r="H62" s="129"/>
      <c r="I62" s="129"/>
      <c r="J62" s="130"/>
      <c r="K62" s="91"/>
      <c r="L62" s="141"/>
      <c r="M62" s="157" t="s">
        <v>6</v>
      </c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9"/>
      <c r="AA62" s="97"/>
      <c r="AB62" s="163"/>
      <c r="AC62" s="174" t="s">
        <v>6</v>
      </c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P62" s="176"/>
    </row>
    <row r="63" spans="1:42" ht="30" customHeight="1">
      <c r="A63" s="29" t="s">
        <v>53</v>
      </c>
      <c r="B63" s="30">
        <f>B12*0.71</f>
        <v>480143.88999999996</v>
      </c>
      <c r="C63" s="25">
        <f t="shared" ref="C63:H63" si="77">C64*C12</f>
        <v>1160588.1599999999</v>
      </c>
      <c r="D63" s="25">
        <f t="shared" si="77"/>
        <v>1261770.24</v>
      </c>
      <c r="E63" s="25">
        <f t="shared" si="77"/>
        <v>1245029.31</v>
      </c>
      <c r="F63" s="25">
        <f t="shared" si="77"/>
        <v>1078524.72</v>
      </c>
      <c r="G63" s="25">
        <f t="shared" si="77"/>
        <v>559497.30000000005</v>
      </c>
      <c r="H63" s="25">
        <f t="shared" si="77"/>
        <v>708815.52</v>
      </c>
      <c r="I63" s="25">
        <v>1267900</v>
      </c>
      <c r="J63" s="25">
        <f>SUM(B63:I63)</f>
        <v>7762269.1400000006</v>
      </c>
      <c r="K63" s="25"/>
      <c r="L63" s="141"/>
      <c r="M63" s="58" t="s">
        <v>53</v>
      </c>
      <c r="N63" s="49">
        <f t="shared" ref="N63:Y63" si="78">N64*N12</f>
        <v>775322.4</v>
      </c>
      <c r="O63" s="49">
        <f t="shared" si="78"/>
        <v>1294850.9339999999</v>
      </c>
      <c r="P63" s="49">
        <f t="shared" si="78"/>
        <v>1733805.400626</v>
      </c>
      <c r="Q63" s="49">
        <f t="shared" si="78"/>
        <v>2040640.9836508802</v>
      </c>
      <c r="R63" s="49">
        <f t="shared" si="78"/>
        <v>2720054.3935017022</v>
      </c>
      <c r="S63" s="49">
        <f t="shared" si="78"/>
        <v>3598129.9462942337</v>
      </c>
      <c r="T63" s="49">
        <f t="shared" si="78"/>
        <v>4834009.3626300795</v>
      </c>
      <c r="U63" s="49">
        <f t="shared" si="78"/>
        <v>5380846.0708798831</v>
      </c>
      <c r="V63" s="49">
        <f t="shared" si="78"/>
        <v>4455131.5200000005</v>
      </c>
      <c r="W63" s="49">
        <f t="shared" si="78"/>
        <v>3488634.6</v>
      </c>
      <c r="X63" s="49">
        <f t="shared" si="78"/>
        <v>4092829.56</v>
      </c>
      <c r="Y63" s="49">
        <f t="shared" si="78"/>
        <v>5889901.035600001</v>
      </c>
      <c r="Z63" s="49">
        <f>SUM(N63:Y63)</f>
        <v>40304156.20718278</v>
      </c>
      <c r="AA63" s="49"/>
      <c r="AB63" s="163"/>
      <c r="AC63" s="72" t="s">
        <v>53</v>
      </c>
      <c r="AD63" s="74">
        <f t="shared" ref="AD63:AO63" si="79">AD64*AD12</f>
        <v>3587781.6</v>
      </c>
      <c r="AE63" s="74">
        <f t="shared" si="79"/>
        <v>3873475.3200000003</v>
      </c>
      <c r="AF63" s="74">
        <f t="shared" si="79"/>
        <v>4460365.5200000005</v>
      </c>
      <c r="AG63" s="74">
        <f t="shared" si="79"/>
        <v>4929877.6800000006</v>
      </c>
      <c r="AH63" s="74">
        <f t="shared" si="79"/>
        <v>5326305.4000000004</v>
      </c>
      <c r="AI63" s="74">
        <f t="shared" si="79"/>
        <v>5985579.6000000006</v>
      </c>
      <c r="AJ63" s="74">
        <f t="shared" si="79"/>
        <v>6433800.4500000002</v>
      </c>
      <c r="AK63" s="74">
        <f t="shared" si="79"/>
        <v>6967479.75</v>
      </c>
      <c r="AL63" s="74">
        <f t="shared" si="79"/>
        <v>6255907.3500000006</v>
      </c>
      <c r="AM63" s="74">
        <f t="shared" si="79"/>
        <v>4592665</v>
      </c>
      <c r="AN63" s="74">
        <f t="shared" si="79"/>
        <v>5144947.5</v>
      </c>
      <c r="AO63" s="74">
        <f t="shared" si="79"/>
        <v>7470347.5</v>
      </c>
      <c r="AP63" s="74">
        <f>SUM(AD63:AO63)</f>
        <v>65028532.670000009</v>
      </c>
    </row>
    <row r="64" spans="1:42" s="3" customFormat="1" ht="30" customHeight="1">
      <c r="A64" s="31" t="s">
        <v>62</v>
      </c>
      <c r="B64" s="32">
        <f>B63/B12</f>
        <v>0.71</v>
      </c>
      <c r="C64" s="32">
        <v>0.64</v>
      </c>
      <c r="D64" s="32">
        <v>0.64</v>
      </c>
      <c r="E64" s="32">
        <v>0.63</v>
      </c>
      <c r="F64" s="32">
        <v>0.63</v>
      </c>
      <c r="G64" s="32">
        <v>0.62</v>
      </c>
      <c r="H64" s="32">
        <v>0.63</v>
      </c>
      <c r="I64" s="33">
        <v>0.63</v>
      </c>
      <c r="J64" s="32">
        <f>J63/J12</f>
        <v>0.63741631655286179</v>
      </c>
      <c r="K64" s="32"/>
      <c r="L64" s="141"/>
      <c r="M64" s="57" t="s">
        <v>62</v>
      </c>
      <c r="N64" s="62">
        <v>0.6</v>
      </c>
      <c r="O64" s="62">
        <v>0.59</v>
      </c>
      <c r="P64" s="62">
        <v>0.59</v>
      </c>
      <c r="Q64" s="62">
        <v>0.57999999999999996</v>
      </c>
      <c r="R64" s="62">
        <v>0.57999999999999996</v>
      </c>
      <c r="S64" s="62">
        <v>0.56999999999999995</v>
      </c>
      <c r="T64" s="62">
        <v>0.56999999999999995</v>
      </c>
      <c r="U64" s="62">
        <v>0.56000000000000005</v>
      </c>
      <c r="V64" s="62">
        <v>0.56000000000000005</v>
      </c>
      <c r="W64" s="62">
        <v>0.55000000000000004</v>
      </c>
      <c r="X64" s="62">
        <v>0.54</v>
      </c>
      <c r="Y64" s="62">
        <v>0.54</v>
      </c>
      <c r="Z64" s="63">
        <f>Z63/Z12</f>
        <v>0.56117823204399497</v>
      </c>
      <c r="AA64" s="63"/>
      <c r="AB64" s="163"/>
      <c r="AC64" s="76" t="s">
        <v>62</v>
      </c>
      <c r="AD64" s="81">
        <v>0.54</v>
      </c>
      <c r="AE64" s="81">
        <v>0.53</v>
      </c>
      <c r="AF64" s="81">
        <v>0.53</v>
      </c>
      <c r="AG64" s="81">
        <v>0.53</v>
      </c>
      <c r="AH64" s="81">
        <v>0.52</v>
      </c>
      <c r="AI64" s="81">
        <v>0.52</v>
      </c>
      <c r="AJ64" s="81">
        <v>0.51</v>
      </c>
      <c r="AK64" s="81">
        <v>0.51</v>
      </c>
      <c r="AL64" s="81">
        <v>0.51</v>
      </c>
      <c r="AM64" s="81">
        <v>0.5</v>
      </c>
      <c r="AN64" s="81">
        <v>0.5</v>
      </c>
      <c r="AO64" s="81">
        <v>0.5</v>
      </c>
      <c r="AP64" s="82">
        <f>AP63/AP12</f>
        <v>0.51453554709038585</v>
      </c>
    </row>
    <row r="65" spans="1:42" ht="30" customHeight="1">
      <c r="A65" s="29" t="s">
        <v>52</v>
      </c>
      <c r="B65" s="30">
        <f>B15*0.6</f>
        <v>53880</v>
      </c>
      <c r="C65" s="34">
        <f>C66*C15</f>
        <v>270415.60000000003</v>
      </c>
      <c r="D65" s="34">
        <f>D66*D15</f>
        <v>319987.8</v>
      </c>
      <c r="E65" s="34">
        <f>E66*E15</f>
        <v>353220</v>
      </c>
      <c r="F65" s="30">
        <f>F66*F15</f>
        <v>122745</v>
      </c>
      <c r="G65" s="30">
        <v>26000</v>
      </c>
      <c r="H65" s="30">
        <f>H17*H66</f>
        <v>28800</v>
      </c>
      <c r="I65" s="25">
        <f>I66*I15</f>
        <v>31899.999999999996</v>
      </c>
      <c r="J65" s="25">
        <f>SUM(B65:I65)</f>
        <v>1206948.3999999999</v>
      </c>
      <c r="K65" s="25"/>
      <c r="L65" s="141"/>
      <c r="M65" s="58" t="s">
        <v>52</v>
      </c>
      <c r="N65" s="52">
        <v>0</v>
      </c>
      <c r="O65" s="49">
        <f t="shared" ref="O65:Y65" si="80">O66*O15</f>
        <v>218421</v>
      </c>
      <c r="P65" s="49">
        <f t="shared" si="80"/>
        <v>273026.25</v>
      </c>
      <c r="Q65" s="49">
        <f t="shared" si="80"/>
        <v>393157.8</v>
      </c>
      <c r="R65" s="49">
        <f t="shared" si="80"/>
        <v>458684.1</v>
      </c>
      <c r="S65" s="49">
        <f t="shared" si="80"/>
        <v>576629.19999999995</v>
      </c>
      <c r="T65" s="49">
        <f t="shared" si="80"/>
        <v>792862</v>
      </c>
      <c r="U65" s="49">
        <f t="shared" si="80"/>
        <v>951434.39999999991</v>
      </c>
      <c r="V65" s="49">
        <f t="shared" si="80"/>
        <v>555003.39999999991</v>
      </c>
      <c r="W65" s="49">
        <f t="shared" si="80"/>
        <v>475717.19999999995</v>
      </c>
      <c r="X65" s="49">
        <f t="shared" si="80"/>
        <v>396431</v>
      </c>
      <c r="Y65" s="49">
        <f t="shared" si="80"/>
        <v>317144.8</v>
      </c>
      <c r="Z65" s="49">
        <f>SUM(N65:Y65)</f>
        <v>5408511.1499999994</v>
      </c>
      <c r="AA65" s="49"/>
      <c r="AB65" s="163"/>
      <c r="AC65" s="72" t="s">
        <v>52</v>
      </c>
      <c r="AD65" s="74">
        <f t="shared" ref="AD65:AO65" si="81">AD66*AD15</f>
        <v>317144.8</v>
      </c>
      <c r="AE65" s="74">
        <f t="shared" si="81"/>
        <v>475717.19999999995</v>
      </c>
      <c r="AF65" s="74">
        <f t="shared" si="81"/>
        <v>792862</v>
      </c>
      <c r="AG65" s="74">
        <f t="shared" si="81"/>
        <v>1030720.6</v>
      </c>
      <c r="AH65" s="74">
        <f t="shared" si="81"/>
        <v>1232334.08</v>
      </c>
      <c r="AI65" s="74">
        <f t="shared" si="81"/>
        <v>1536562.6800000002</v>
      </c>
      <c r="AJ65" s="74">
        <f t="shared" si="81"/>
        <v>1779177.84</v>
      </c>
      <c r="AK65" s="74">
        <f t="shared" si="81"/>
        <v>2021793.0000000002</v>
      </c>
      <c r="AL65" s="74">
        <f t="shared" si="81"/>
        <v>1805342.22</v>
      </c>
      <c r="AM65" s="74">
        <f t="shared" si="81"/>
        <v>1569862.8</v>
      </c>
      <c r="AN65" s="74">
        <f t="shared" si="81"/>
        <v>1334383.3800000001</v>
      </c>
      <c r="AO65" s="74">
        <f t="shared" si="81"/>
        <v>1412876.52</v>
      </c>
      <c r="AP65" s="74">
        <f t="shared" ref="AP65:AP83" si="82">SUM(AD65:AO65)</f>
        <v>15308777.120000003</v>
      </c>
    </row>
    <row r="66" spans="1:42" s="3" customFormat="1" ht="30" customHeight="1">
      <c r="A66" s="31" t="s">
        <v>62</v>
      </c>
      <c r="B66" s="32">
        <v>0.6</v>
      </c>
      <c r="C66" s="32">
        <v>0.34</v>
      </c>
      <c r="D66" s="32">
        <v>0.33</v>
      </c>
      <c r="E66" s="32">
        <v>0.3</v>
      </c>
      <c r="F66" s="32">
        <v>0.49</v>
      </c>
      <c r="G66" s="32">
        <f>G65/G17</f>
        <v>0.55770055770055771</v>
      </c>
      <c r="H66" s="35">
        <v>0.6</v>
      </c>
      <c r="I66" s="32">
        <v>0.57999999999999996</v>
      </c>
      <c r="J66" s="32">
        <f>J65/J15</f>
        <v>0.35164215457766174</v>
      </c>
      <c r="K66" s="32"/>
      <c r="L66" s="141"/>
      <c r="M66" s="57" t="s">
        <v>62</v>
      </c>
      <c r="N66" s="62">
        <v>0.35</v>
      </c>
      <c r="O66" s="62">
        <v>0.35</v>
      </c>
      <c r="P66" s="62">
        <v>0.35</v>
      </c>
      <c r="Q66" s="62">
        <v>0.35</v>
      </c>
      <c r="R66" s="62">
        <v>0.35</v>
      </c>
      <c r="S66" s="62">
        <v>0.35</v>
      </c>
      <c r="T66" s="62">
        <v>0.35</v>
      </c>
      <c r="U66" s="62">
        <v>0.35</v>
      </c>
      <c r="V66" s="62">
        <v>0.35</v>
      </c>
      <c r="W66" s="62">
        <v>0.35</v>
      </c>
      <c r="X66" s="62">
        <v>0.35</v>
      </c>
      <c r="Y66" s="62">
        <v>0.35</v>
      </c>
      <c r="Z66" s="63">
        <f>Z65/Z15</f>
        <v>0.35</v>
      </c>
      <c r="AA66" s="63"/>
      <c r="AB66" s="163"/>
      <c r="AC66" s="76" t="s">
        <v>62</v>
      </c>
      <c r="AD66" s="81">
        <v>0.35</v>
      </c>
      <c r="AE66" s="81">
        <v>0.35</v>
      </c>
      <c r="AF66" s="81">
        <v>0.35</v>
      </c>
      <c r="AG66" s="81">
        <v>0.35</v>
      </c>
      <c r="AH66" s="81">
        <v>0.34</v>
      </c>
      <c r="AI66" s="81">
        <v>0.34</v>
      </c>
      <c r="AJ66" s="81">
        <v>0.34</v>
      </c>
      <c r="AK66" s="81">
        <v>0.34</v>
      </c>
      <c r="AL66" s="81">
        <v>0.33</v>
      </c>
      <c r="AM66" s="81">
        <v>0.33</v>
      </c>
      <c r="AN66" s="81">
        <v>0.33</v>
      </c>
      <c r="AO66" s="81">
        <v>0.33</v>
      </c>
      <c r="AP66" s="82">
        <f>AP65/AP15</f>
        <v>0.33755744822345934</v>
      </c>
    </row>
    <row r="67" spans="1:42" ht="30" customHeight="1">
      <c r="A67" s="29" t="s">
        <v>58</v>
      </c>
      <c r="B67" s="30">
        <v>0</v>
      </c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/>
      <c r="L67" s="141"/>
      <c r="M67" s="58" t="s">
        <v>58</v>
      </c>
      <c r="N67" s="52">
        <v>0</v>
      </c>
      <c r="O67" s="49">
        <f t="shared" ref="O67:Y67" si="83">O68*O18</f>
        <v>0</v>
      </c>
      <c r="P67" s="49">
        <f t="shared" si="83"/>
        <v>603989.10000000009</v>
      </c>
      <c r="Q67" s="49">
        <f t="shared" si="83"/>
        <v>1811967.3</v>
      </c>
      <c r="R67" s="49">
        <f t="shared" si="83"/>
        <v>2899147.68</v>
      </c>
      <c r="S67" s="49">
        <f t="shared" si="83"/>
        <v>2899147.68</v>
      </c>
      <c r="T67" s="49">
        <f t="shared" si="83"/>
        <v>3986328.0600000005</v>
      </c>
      <c r="U67" s="49">
        <f t="shared" si="83"/>
        <v>3986328.0600000005</v>
      </c>
      <c r="V67" s="49">
        <f t="shared" si="83"/>
        <v>5261953.0392000005</v>
      </c>
      <c r="W67" s="49">
        <f t="shared" si="83"/>
        <v>5261953.0392000005</v>
      </c>
      <c r="X67" s="49">
        <f t="shared" si="83"/>
        <v>6752839.7336400021</v>
      </c>
      <c r="Y67" s="49">
        <f t="shared" si="83"/>
        <v>6752839.7336400021</v>
      </c>
      <c r="Z67" s="49">
        <f>SUM(N67:Y67)</f>
        <v>40216493.425680004</v>
      </c>
      <c r="AA67" s="49"/>
      <c r="AB67" s="163"/>
      <c r="AC67" s="72" t="s">
        <v>58</v>
      </c>
      <c r="AD67" s="74">
        <f t="shared" ref="AD67:AO67" si="84">AD68*AD18</f>
        <v>6752838.4000000004</v>
      </c>
      <c r="AE67" s="74">
        <f t="shared" si="84"/>
        <v>7717529.6000000006</v>
      </c>
      <c r="AF67" s="74">
        <f t="shared" si="84"/>
        <v>7717529.6000000006</v>
      </c>
      <c r="AG67" s="74">
        <f t="shared" si="84"/>
        <v>8682220.8000000007</v>
      </c>
      <c r="AH67" s="74">
        <f t="shared" si="84"/>
        <v>8682220.8000000007</v>
      </c>
      <c r="AI67" s="74">
        <f t="shared" si="84"/>
        <v>10129256.5</v>
      </c>
      <c r="AJ67" s="74">
        <f t="shared" si="84"/>
        <v>10129256.5</v>
      </c>
      <c r="AK67" s="74">
        <f t="shared" si="84"/>
        <v>11142182.15</v>
      </c>
      <c r="AL67" s="74">
        <f t="shared" si="84"/>
        <v>11142182.15</v>
      </c>
      <c r="AM67" s="74">
        <f t="shared" si="84"/>
        <v>12155107.800000001</v>
      </c>
      <c r="AN67" s="74">
        <f t="shared" si="84"/>
        <v>12155107.800000001</v>
      </c>
      <c r="AO67" s="74">
        <f t="shared" si="84"/>
        <v>13168033.450000001</v>
      </c>
      <c r="AP67" s="74">
        <f t="shared" si="82"/>
        <v>119573465.55000001</v>
      </c>
    </row>
    <row r="68" spans="1:42" s="3" customFormat="1" ht="30" customHeight="1">
      <c r="A68" s="31" t="s">
        <v>62</v>
      </c>
      <c r="B68" s="36">
        <v>0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/>
      <c r="L68" s="141"/>
      <c r="M68" s="57" t="s">
        <v>62</v>
      </c>
      <c r="N68" s="64">
        <v>0</v>
      </c>
      <c r="O68" s="62">
        <v>0.55000000000000004</v>
      </c>
      <c r="P68" s="62">
        <v>0.55000000000000004</v>
      </c>
      <c r="Q68" s="62">
        <v>0.55000000000000004</v>
      </c>
      <c r="R68" s="62">
        <v>0.55000000000000004</v>
      </c>
      <c r="S68" s="62">
        <v>0.55000000000000004</v>
      </c>
      <c r="T68" s="62">
        <v>0.55000000000000004</v>
      </c>
      <c r="U68" s="62">
        <v>0.55000000000000004</v>
      </c>
      <c r="V68" s="62">
        <v>0.55000000000000004</v>
      </c>
      <c r="W68" s="62">
        <v>0.55000000000000004</v>
      </c>
      <c r="X68" s="62">
        <v>0.55000000000000004</v>
      </c>
      <c r="Y68" s="62">
        <v>0.55000000000000004</v>
      </c>
      <c r="Z68" s="63">
        <f>Z67/Z18</f>
        <v>0.55000000000000004</v>
      </c>
      <c r="AA68" s="63"/>
      <c r="AB68" s="163"/>
      <c r="AC68" s="76" t="s">
        <v>62</v>
      </c>
      <c r="AD68" s="81">
        <v>0.55000000000000004</v>
      </c>
      <c r="AE68" s="81">
        <v>0.55000000000000004</v>
      </c>
      <c r="AF68" s="81">
        <v>0.55000000000000004</v>
      </c>
      <c r="AG68" s="81">
        <v>0.55000000000000004</v>
      </c>
      <c r="AH68" s="81">
        <v>0.55000000000000004</v>
      </c>
      <c r="AI68" s="81">
        <v>0.55000000000000004</v>
      </c>
      <c r="AJ68" s="81">
        <v>0.55000000000000004</v>
      </c>
      <c r="AK68" s="81">
        <v>0.55000000000000004</v>
      </c>
      <c r="AL68" s="81">
        <v>0.55000000000000004</v>
      </c>
      <c r="AM68" s="81">
        <v>0.55000000000000004</v>
      </c>
      <c r="AN68" s="81">
        <v>0.55000000000000004</v>
      </c>
      <c r="AO68" s="81">
        <v>0.55000000000000004</v>
      </c>
      <c r="AP68" s="82">
        <f>AP67/AP18</f>
        <v>0.55000000000000004</v>
      </c>
    </row>
    <row r="69" spans="1:42" ht="30" customHeight="1">
      <c r="A69" s="29" t="s">
        <v>59</v>
      </c>
      <c r="B69" s="30">
        <v>0</v>
      </c>
      <c r="C69" s="30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/>
      <c r="L69" s="141"/>
      <c r="M69" s="58" t="s">
        <v>59</v>
      </c>
      <c r="N69" s="49">
        <f>N25*N70</f>
        <v>0</v>
      </c>
      <c r="O69" s="49">
        <f t="shared" ref="O69:Y69" si="85">O25*O70</f>
        <v>3475619.4</v>
      </c>
      <c r="P69" s="49">
        <f t="shared" si="85"/>
        <v>3434729.76</v>
      </c>
      <c r="Q69" s="49">
        <f t="shared" si="85"/>
        <v>4906756.8</v>
      </c>
      <c r="R69" s="49">
        <f t="shared" si="85"/>
        <v>5740905.4559999993</v>
      </c>
      <c r="S69" s="49">
        <f t="shared" si="85"/>
        <v>4784087.88</v>
      </c>
      <c r="T69" s="49">
        <f t="shared" si="85"/>
        <v>6139579.4460000005</v>
      </c>
      <c r="U69" s="49">
        <f t="shared" si="85"/>
        <v>7718328.4464000016</v>
      </c>
      <c r="V69" s="49">
        <f t="shared" si="85"/>
        <v>9117275.4773100037</v>
      </c>
      <c r="W69" s="49">
        <f t="shared" si="85"/>
        <v>9818604.3601800017</v>
      </c>
      <c r="X69" s="49">
        <f t="shared" si="85"/>
        <v>10909560.400200002</v>
      </c>
      <c r="Y69" s="49">
        <f t="shared" si="85"/>
        <v>10909560.400200002</v>
      </c>
      <c r="Z69" s="49">
        <f>SUM(N69:Y69)</f>
        <v>76955007.826290011</v>
      </c>
      <c r="AA69" s="49"/>
      <c r="AB69" s="163"/>
      <c r="AC69" s="72" t="s">
        <v>59</v>
      </c>
      <c r="AD69" s="74">
        <f>AD25*AD70</f>
        <v>16364333.999999998</v>
      </c>
      <c r="AE69" s="74">
        <f t="shared" ref="AE69:AO69" si="86">AE25*AE70</f>
        <v>18546245.199999999</v>
      </c>
      <c r="AF69" s="74">
        <f t="shared" si="86"/>
        <v>20728156.399999999</v>
      </c>
      <c r="AG69" s="74">
        <f t="shared" si="86"/>
        <v>21273634.199999999</v>
      </c>
      <c r="AH69" s="74">
        <f t="shared" si="86"/>
        <v>23299694.600000001</v>
      </c>
      <c r="AI69" s="74">
        <f t="shared" si="86"/>
        <v>26592036.25</v>
      </c>
      <c r="AJ69" s="74">
        <f t="shared" si="86"/>
        <v>28719399.150000002</v>
      </c>
      <c r="AK69" s="74">
        <f t="shared" si="86"/>
        <v>30846762.050000001</v>
      </c>
      <c r="AL69" s="74">
        <f t="shared" si="86"/>
        <v>35510596.099999994</v>
      </c>
      <c r="AM69" s="74">
        <f t="shared" si="86"/>
        <v>37801602.299999997</v>
      </c>
      <c r="AN69" s="74">
        <f t="shared" si="86"/>
        <v>40092608.5</v>
      </c>
      <c r="AO69" s="74">
        <f t="shared" si="86"/>
        <v>41238111.599999994</v>
      </c>
      <c r="AP69" s="74">
        <f t="shared" si="82"/>
        <v>341013180.35000002</v>
      </c>
    </row>
    <row r="70" spans="1:42" s="3" customFormat="1" ht="30" customHeight="1">
      <c r="A70" s="31" t="s">
        <v>62</v>
      </c>
      <c r="B70" s="36">
        <v>0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/>
      <c r="L70" s="141"/>
      <c r="M70" s="57" t="s">
        <v>62</v>
      </c>
      <c r="N70" s="64">
        <v>0</v>
      </c>
      <c r="O70" s="62">
        <v>0.85</v>
      </c>
      <c r="P70" s="62">
        <v>0.84</v>
      </c>
      <c r="Q70" s="62">
        <v>0.8</v>
      </c>
      <c r="R70" s="62">
        <v>0.78</v>
      </c>
      <c r="S70" s="62">
        <v>0.65</v>
      </c>
      <c r="T70" s="62">
        <v>0.65</v>
      </c>
      <c r="U70" s="62">
        <v>0.65</v>
      </c>
      <c r="V70" s="62">
        <v>0.65</v>
      </c>
      <c r="W70" s="62">
        <v>0.7</v>
      </c>
      <c r="X70" s="62">
        <v>0.7</v>
      </c>
      <c r="Y70" s="62">
        <v>0.7</v>
      </c>
      <c r="Z70" s="63">
        <f>Z69/Z25</f>
        <v>0.70230551502554328</v>
      </c>
      <c r="AA70" s="63"/>
      <c r="AB70" s="163"/>
      <c r="AC70" s="76" t="s">
        <v>62</v>
      </c>
      <c r="AD70" s="81">
        <v>0.7</v>
      </c>
      <c r="AE70" s="81">
        <v>0.7</v>
      </c>
      <c r="AF70" s="81">
        <v>0.7</v>
      </c>
      <c r="AG70" s="81">
        <v>0.65</v>
      </c>
      <c r="AH70" s="81">
        <v>0.65</v>
      </c>
      <c r="AI70" s="81">
        <v>0.65</v>
      </c>
      <c r="AJ70" s="81">
        <v>0.65</v>
      </c>
      <c r="AK70" s="81">
        <v>0.65</v>
      </c>
      <c r="AL70" s="81">
        <v>0.7</v>
      </c>
      <c r="AM70" s="81">
        <v>0.7</v>
      </c>
      <c r="AN70" s="81">
        <v>0.7</v>
      </c>
      <c r="AO70" s="81">
        <v>0.7</v>
      </c>
      <c r="AP70" s="82">
        <f>AP69/AP25</f>
        <v>0.67994872569254328</v>
      </c>
    </row>
    <row r="71" spans="1:42" ht="30" customHeight="1">
      <c r="A71" s="29" t="s">
        <v>60</v>
      </c>
      <c r="B71" s="30">
        <v>0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/>
      <c r="L71" s="141"/>
      <c r="M71" s="58" t="s">
        <v>60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49">
        <f>S72*S21</f>
        <v>1600000</v>
      </c>
      <c r="T71" s="49">
        <f t="shared" ref="T71:Y71" si="87">T72*T21</f>
        <v>1600000</v>
      </c>
      <c r="U71" s="49">
        <f t="shared" si="87"/>
        <v>3200000</v>
      </c>
      <c r="V71" s="49">
        <f t="shared" si="87"/>
        <v>3200000</v>
      </c>
      <c r="W71" s="49">
        <f t="shared" si="87"/>
        <v>3200000</v>
      </c>
      <c r="X71" s="49">
        <f t="shared" si="87"/>
        <v>3200000</v>
      </c>
      <c r="Y71" s="49">
        <f t="shared" si="87"/>
        <v>3200000</v>
      </c>
      <c r="Z71" s="49">
        <f>SUM(N71:Y71)</f>
        <v>19200000</v>
      </c>
      <c r="AA71" s="49"/>
      <c r="AB71" s="163"/>
      <c r="AC71" s="72" t="s">
        <v>60</v>
      </c>
      <c r="AD71" s="74">
        <f>AD72*AD21</f>
        <v>4800000</v>
      </c>
      <c r="AE71" s="74">
        <f t="shared" ref="AE71:AO71" si="88">AE72*AE21</f>
        <v>6400000</v>
      </c>
      <c r="AF71" s="74">
        <f t="shared" si="88"/>
        <v>6400000</v>
      </c>
      <c r="AG71" s="74">
        <f t="shared" si="88"/>
        <v>6400000</v>
      </c>
      <c r="AH71" s="74">
        <f t="shared" si="88"/>
        <v>6400000</v>
      </c>
      <c r="AI71" s="74">
        <f t="shared" si="88"/>
        <v>8000000</v>
      </c>
      <c r="AJ71" s="74">
        <f t="shared" si="88"/>
        <v>8000000</v>
      </c>
      <c r="AK71" s="74">
        <f t="shared" si="88"/>
        <v>8000000</v>
      </c>
      <c r="AL71" s="74">
        <f t="shared" si="88"/>
        <v>8000000</v>
      </c>
      <c r="AM71" s="74">
        <f t="shared" si="88"/>
        <v>9600000</v>
      </c>
      <c r="AN71" s="74">
        <f t="shared" si="88"/>
        <v>9600000</v>
      </c>
      <c r="AO71" s="74">
        <f t="shared" si="88"/>
        <v>9600000</v>
      </c>
      <c r="AP71" s="74">
        <f t="shared" si="82"/>
        <v>91200000</v>
      </c>
    </row>
    <row r="72" spans="1:42" s="3" customFormat="1" ht="30" customHeight="1">
      <c r="A72" s="31" t="s">
        <v>62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/>
      <c r="L72" s="141"/>
      <c r="M72" s="57" t="s">
        <v>62</v>
      </c>
      <c r="N72" s="57">
        <v>0</v>
      </c>
      <c r="O72" s="57">
        <v>0</v>
      </c>
      <c r="P72" s="57">
        <v>0</v>
      </c>
      <c r="Q72" s="57">
        <v>0</v>
      </c>
      <c r="R72" s="57">
        <v>0</v>
      </c>
      <c r="S72" s="62">
        <v>0.8</v>
      </c>
      <c r="T72" s="62">
        <v>0.8</v>
      </c>
      <c r="U72" s="62">
        <v>0.8</v>
      </c>
      <c r="V72" s="62">
        <v>0.8</v>
      </c>
      <c r="W72" s="62">
        <v>0.8</v>
      </c>
      <c r="X72" s="62">
        <v>0.8</v>
      </c>
      <c r="Y72" s="62">
        <v>0.8</v>
      </c>
      <c r="Z72" s="63">
        <f>Z71/Z21</f>
        <v>0.8</v>
      </c>
      <c r="AA72" s="63"/>
      <c r="AB72" s="163"/>
      <c r="AC72" s="76" t="s">
        <v>62</v>
      </c>
      <c r="AD72" s="81">
        <v>0.8</v>
      </c>
      <c r="AE72" s="81">
        <v>0.8</v>
      </c>
      <c r="AF72" s="81">
        <v>0.8</v>
      </c>
      <c r="AG72" s="81">
        <v>0.8</v>
      </c>
      <c r="AH72" s="81">
        <v>0.8</v>
      </c>
      <c r="AI72" s="81">
        <v>0.8</v>
      </c>
      <c r="AJ72" s="81">
        <v>0.8</v>
      </c>
      <c r="AK72" s="81">
        <v>0.8</v>
      </c>
      <c r="AL72" s="81">
        <v>0.8</v>
      </c>
      <c r="AM72" s="81">
        <v>0.8</v>
      </c>
      <c r="AN72" s="81">
        <v>0.8</v>
      </c>
      <c r="AO72" s="81">
        <v>0.8</v>
      </c>
      <c r="AP72" s="82">
        <f>AP71/AP21</f>
        <v>0.8</v>
      </c>
    </row>
    <row r="73" spans="1:42" ht="30" customHeight="1">
      <c r="A73" s="29" t="s">
        <v>51</v>
      </c>
      <c r="B73" s="34">
        <f>B30*0.7</f>
        <v>140484.4</v>
      </c>
      <c r="C73" s="34">
        <f>C74*C29</f>
        <v>239467.9</v>
      </c>
      <c r="D73" s="34">
        <f t="shared" ref="D73:H73" si="89">D74*D29</f>
        <v>142011.79999999999</v>
      </c>
      <c r="E73" s="34">
        <f t="shared" si="89"/>
        <v>125383.29999999999</v>
      </c>
      <c r="F73" s="34">
        <f t="shared" si="89"/>
        <v>84695.799999999988</v>
      </c>
      <c r="G73" s="34">
        <v>184561</v>
      </c>
      <c r="H73" s="34">
        <f t="shared" si="89"/>
        <v>56886.899999999994</v>
      </c>
      <c r="I73" s="25">
        <f>I74*I29</f>
        <v>162201.9</v>
      </c>
      <c r="J73" s="25">
        <f>SUM(B73:I73)</f>
        <v>1135693</v>
      </c>
      <c r="K73" s="25"/>
      <c r="L73" s="141"/>
      <c r="M73" s="58" t="s">
        <v>51</v>
      </c>
      <c r="N73" s="49">
        <f>N74*N29</f>
        <v>117305.99999999999</v>
      </c>
      <c r="O73" s="49">
        <f t="shared" ref="O73:P73" si="90">O74*O29</f>
        <v>117305.99999999999</v>
      </c>
      <c r="P73" s="49">
        <f t="shared" si="90"/>
        <v>215061</v>
      </c>
      <c r="Q73" s="49">
        <f>Q29*Q74</f>
        <v>314773.19999999995</v>
      </c>
      <c r="R73" s="49">
        <f t="shared" ref="R73:W73" si="91">R29*R74</f>
        <v>682008.6</v>
      </c>
      <c r="S73" s="49">
        <f t="shared" si="91"/>
        <v>1294143.2</v>
      </c>
      <c r="T73" s="49">
        <f t="shared" si="91"/>
        <v>2256000.5999999996</v>
      </c>
      <c r="U73" s="49">
        <f t="shared" si="91"/>
        <v>2938059.5999999996</v>
      </c>
      <c r="V73" s="49">
        <f t="shared" si="91"/>
        <v>2736929.3</v>
      </c>
      <c r="W73" s="49">
        <f t="shared" si="91"/>
        <v>2194769.5</v>
      </c>
      <c r="X73" s="49">
        <v>1400000</v>
      </c>
      <c r="Y73" s="49">
        <v>1580000</v>
      </c>
      <c r="Z73" s="49">
        <f>SUM(N73:Y73)</f>
        <v>15846357</v>
      </c>
      <c r="AA73" s="49"/>
      <c r="AB73" s="163"/>
      <c r="AC73" s="72" t="s">
        <v>51</v>
      </c>
      <c r="AD73" s="74">
        <v>2780000</v>
      </c>
      <c r="AE73" s="74">
        <v>2850000</v>
      </c>
      <c r="AF73" s="74">
        <v>3150000</v>
      </c>
      <c r="AG73" s="74">
        <v>3150000</v>
      </c>
      <c r="AH73" s="74">
        <v>3150000</v>
      </c>
      <c r="AI73" s="74">
        <v>3200000</v>
      </c>
      <c r="AJ73" s="74">
        <v>3300000</v>
      </c>
      <c r="AK73" s="74">
        <v>3500000</v>
      </c>
      <c r="AL73" s="74">
        <v>3600000</v>
      </c>
      <c r="AM73" s="74">
        <v>3600000</v>
      </c>
      <c r="AN73" s="74">
        <v>3600000</v>
      </c>
      <c r="AO73" s="74">
        <v>3600000</v>
      </c>
      <c r="AP73" s="74">
        <f t="shared" si="82"/>
        <v>39480000</v>
      </c>
    </row>
    <row r="74" spans="1:42" s="3" customFormat="1" ht="30" customHeight="1">
      <c r="A74" s="31" t="s">
        <v>62</v>
      </c>
      <c r="B74" s="35">
        <v>0.7</v>
      </c>
      <c r="C74" s="35">
        <v>0.7</v>
      </c>
      <c r="D74" s="35">
        <v>0.7</v>
      </c>
      <c r="E74" s="35">
        <v>0.7</v>
      </c>
      <c r="F74" s="35">
        <v>0.7</v>
      </c>
      <c r="G74" s="35">
        <v>0.7</v>
      </c>
      <c r="H74" s="35">
        <v>0.7</v>
      </c>
      <c r="I74" s="35">
        <v>0.7</v>
      </c>
      <c r="J74" s="32">
        <f>J73/J29</f>
        <v>0.70108444363232747</v>
      </c>
      <c r="K74" s="32"/>
      <c r="L74" s="141"/>
      <c r="M74" s="57" t="s">
        <v>62</v>
      </c>
      <c r="N74" s="62">
        <v>0.7</v>
      </c>
      <c r="O74" s="62">
        <v>0.7</v>
      </c>
      <c r="P74" s="62">
        <v>0.7</v>
      </c>
      <c r="Q74" s="64">
        <v>0.7</v>
      </c>
      <c r="R74" s="64">
        <v>0.7</v>
      </c>
      <c r="S74" s="106">
        <v>0.7</v>
      </c>
      <c r="T74" s="106">
        <v>0.7</v>
      </c>
      <c r="U74" s="106">
        <v>0.7</v>
      </c>
      <c r="V74" s="106">
        <v>0.7</v>
      </c>
      <c r="W74" s="106">
        <v>0.7</v>
      </c>
      <c r="X74" s="64">
        <f t="shared" ref="R74:Y74" si="92">X73/X29</f>
        <v>0.5603792646863397</v>
      </c>
      <c r="Y74" s="64">
        <f t="shared" si="92"/>
        <v>0.38098728756341749</v>
      </c>
      <c r="Z74" s="63">
        <f>Z73/Z29</f>
        <v>0.6331973251112506</v>
      </c>
      <c r="AA74" s="63"/>
      <c r="AB74" s="163"/>
      <c r="AC74" s="76" t="s">
        <v>62</v>
      </c>
      <c r="AD74" s="82">
        <f>AD73/AD29</f>
        <v>1.6608616167711177</v>
      </c>
      <c r="AE74" s="82">
        <f t="shared" ref="AE74:AO74" si="93">AE73/AE29</f>
        <v>1.4083463049440368</v>
      </c>
      <c r="AF74" s="82">
        <f t="shared" si="93"/>
        <v>1.2223420850439655</v>
      </c>
      <c r="AG74" s="82">
        <f t="shared" si="93"/>
        <v>0.96247861158640924</v>
      </c>
      <c r="AH74" s="82">
        <f t="shared" si="93"/>
        <v>0.76045810962184712</v>
      </c>
      <c r="AI74" s="82">
        <f t="shared" si="93"/>
        <v>0.62420024343809499</v>
      </c>
      <c r="AJ74" s="82">
        <f t="shared" si="93"/>
        <v>0.49382982085649846</v>
      </c>
      <c r="AK74" s="82">
        <f t="shared" si="93"/>
        <v>0.42290179990630911</v>
      </c>
      <c r="AL74" s="82">
        <f t="shared" si="93"/>
        <v>0.41200221977640411</v>
      </c>
      <c r="AM74" s="82">
        <f t="shared" si="93"/>
        <v>0.43994333529841356</v>
      </c>
      <c r="AN74" s="82">
        <f t="shared" si="93"/>
        <v>0.36073850386511264</v>
      </c>
      <c r="AO74" s="82">
        <f t="shared" si="93"/>
        <v>0.29451656782499758</v>
      </c>
      <c r="AP74" s="82">
        <f>AP73/AP29</f>
        <v>0.54157600675625672</v>
      </c>
    </row>
    <row r="75" spans="1:42" ht="30" customHeight="1">
      <c r="A75" s="29" t="s">
        <v>44</v>
      </c>
      <c r="B75" s="34">
        <f>B40*B76</f>
        <v>148310.66999999998</v>
      </c>
      <c r="C75" s="34">
        <f t="shared" ref="C75:I75" si="94">C40*C76</f>
        <v>311251.85000000003</v>
      </c>
      <c r="D75" s="34">
        <f t="shared" si="94"/>
        <v>274839.5</v>
      </c>
      <c r="E75" s="34">
        <f t="shared" si="94"/>
        <v>309465.60000000003</v>
      </c>
      <c r="F75" s="34">
        <f t="shared" si="94"/>
        <v>334120.5</v>
      </c>
      <c r="G75" s="34">
        <f t="shared" si="94"/>
        <v>274906.8</v>
      </c>
      <c r="H75" s="34">
        <f t="shared" si="94"/>
        <v>110994.88</v>
      </c>
      <c r="I75" s="34">
        <f t="shared" si="94"/>
        <v>220166.69</v>
      </c>
      <c r="J75" s="25">
        <f>SUM(B75:I75)</f>
        <v>1984056.4900000002</v>
      </c>
      <c r="K75" s="25"/>
      <c r="L75" s="141"/>
      <c r="M75" s="58" t="s">
        <v>44</v>
      </c>
      <c r="N75" s="49">
        <f>N76*N40</f>
        <v>50724</v>
      </c>
      <c r="O75" s="49">
        <f t="shared" ref="O75:P75" si="95">O76*O40</f>
        <v>69000</v>
      </c>
      <c r="P75" s="49">
        <f t="shared" si="95"/>
        <v>248400</v>
      </c>
      <c r="Q75" s="49">
        <v>300000</v>
      </c>
      <c r="R75" s="49">
        <v>400000</v>
      </c>
      <c r="S75" s="49">
        <v>450000</v>
      </c>
      <c r="T75" s="49">
        <v>500000</v>
      </c>
      <c r="U75" s="49">
        <v>540000</v>
      </c>
      <c r="V75" s="49">
        <v>500000</v>
      </c>
      <c r="W75" s="49">
        <v>470000</v>
      </c>
      <c r="X75" s="49">
        <v>410000</v>
      </c>
      <c r="Y75" s="49">
        <v>500000</v>
      </c>
      <c r="Z75" s="49">
        <f>SUM(N75:Y75)</f>
        <v>4438124</v>
      </c>
      <c r="AA75" s="49"/>
      <c r="AB75" s="163"/>
      <c r="AC75" s="72" t="s">
        <v>44</v>
      </c>
      <c r="AD75" s="74">
        <f>AD76*AD40</f>
        <v>403650</v>
      </c>
      <c r="AE75" s="74">
        <f t="shared" ref="AE75:AO75" si="96">AE76*AE40</f>
        <v>504390</v>
      </c>
      <c r="AF75" s="74">
        <f t="shared" si="96"/>
        <v>565800</v>
      </c>
      <c r="AG75" s="74">
        <f t="shared" si="96"/>
        <v>594000</v>
      </c>
      <c r="AH75" s="74">
        <f t="shared" si="96"/>
        <v>664000</v>
      </c>
      <c r="AI75" s="74">
        <f t="shared" si="96"/>
        <v>752000</v>
      </c>
      <c r="AJ75" s="74">
        <f t="shared" si="96"/>
        <v>813750</v>
      </c>
      <c r="AK75" s="74">
        <f t="shared" si="96"/>
        <v>847500</v>
      </c>
      <c r="AL75" s="74">
        <f t="shared" si="96"/>
        <v>712000</v>
      </c>
      <c r="AM75" s="74">
        <f t="shared" si="96"/>
        <v>584000</v>
      </c>
      <c r="AN75" s="74">
        <f t="shared" si="96"/>
        <v>640000</v>
      </c>
      <c r="AO75" s="74">
        <f t="shared" si="96"/>
        <v>900000</v>
      </c>
      <c r="AP75" s="74">
        <f t="shared" si="82"/>
        <v>7981090</v>
      </c>
    </row>
    <row r="76" spans="1:42" s="3" customFormat="1" ht="30" customHeight="1">
      <c r="A76" s="31" t="s">
        <v>62</v>
      </c>
      <c r="B76" s="35">
        <v>0.69</v>
      </c>
      <c r="C76" s="35">
        <v>0.65</v>
      </c>
      <c r="D76" s="35">
        <v>0.65</v>
      </c>
      <c r="E76" s="35">
        <v>0.64</v>
      </c>
      <c r="F76" s="35">
        <v>0.63</v>
      </c>
      <c r="G76" s="35">
        <v>0.63</v>
      </c>
      <c r="H76" s="35">
        <v>0.62</v>
      </c>
      <c r="I76" s="32">
        <v>0.61</v>
      </c>
      <c r="J76" s="32">
        <f>J75/J40</f>
        <v>0.6386122456205291</v>
      </c>
      <c r="K76" s="32"/>
      <c r="L76" s="141"/>
      <c r="M76" s="57" t="s">
        <v>62</v>
      </c>
      <c r="N76" s="62">
        <v>0.6</v>
      </c>
      <c r="O76" s="62">
        <v>0.6</v>
      </c>
      <c r="P76" s="62">
        <v>0.6</v>
      </c>
      <c r="Q76" s="62">
        <f>Q75/Q40</f>
        <v>0.42075736325385693</v>
      </c>
      <c r="R76" s="64">
        <f>R75/R40</f>
        <v>0.40444893832153689</v>
      </c>
      <c r="S76" s="64">
        <f>S75/S40</f>
        <v>0.35573122529644269</v>
      </c>
      <c r="T76" s="64">
        <f>T75/T40</f>
        <v>0.31969309462915602</v>
      </c>
      <c r="U76" s="64">
        <f t="shared" ref="U76:Y76" si="97">U75/U40</f>
        <v>0.28985507246376813</v>
      </c>
      <c r="V76" s="64">
        <f t="shared" si="97"/>
        <v>0.31505986137366099</v>
      </c>
      <c r="W76" s="64">
        <f t="shared" si="97"/>
        <v>0.32436162870945479</v>
      </c>
      <c r="X76" s="64">
        <f t="shared" si="97"/>
        <v>0.50931677018633537</v>
      </c>
      <c r="Y76" s="64">
        <f t="shared" si="97"/>
        <v>0.33444816053511706</v>
      </c>
      <c r="Z76" s="63">
        <f>Z75/Z40</f>
        <v>0.35955033969185501</v>
      </c>
      <c r="AA76" s="63"/>
      <c r="AB76" s="163"/>
      <c r="AC76" s="76" t="s">
        <v>62</v>
      </c>
      <c r="AD76" s="81">
        <v>0.45</v>
      </c>
      <c r="AE76" s="81">
        <v>0.43</v>
      </c>
      <c r="AF76" s="81">
        <v>0.41</v>
      </c>
      <c r="AG76" s="81">
        <v>0.33</v>
      </c>
      <c r="AH76" s="81">
        <v>0.32</v>
      </c>
      <c r="AI76" s="81">
        <v>0.32</v>
      </c>
      <c r="AJ76" s="81">
        <v>0.31</v>
      </c>
      <c r="AK76" s="81">
        <v>0.3</v>
      </c>
      <c r="AL76" s="81">
        <v>0.32</v>
      </c>
      <c r="AM76" s="81">
        <v>0.32</v>
      </c>
      <c r="AN76" s="81">
        <v>0.32</v>
      </c>
      <c r="AO76" s="81">
        <v>0.3</v>
      </c>
      <c r="AP76" s="82">
        <f>AP75/AP40</f>
        <v>0.33013815925542916</v>
      </c>
    </row>
    <row r="77" spans="1:42" ht="30" customHeight="1">
      <c r="A77" s="29" t="s">
        <v>46</v>
      </c>
      <c r="B77" s="30">
        <v>0</v>
      </c>
      <c r="C77" s="30">
        <v>26000</v>
      </c>
      <c r="D77" s="30">
        <v>34000</v>
      </c>
      <c r="E77" s="30">
        <v>0</v>
      </c>
      <c r="F77" s="30">
        <v>0</v>
      </c>
      <c r="G77" s="30">
        <v>18200</v>
      </c>
      <c r="H77" s="30">
        <v>0</v>
      </c>
      <c r="I77" s="25">
        <v>0</v>
      </c>
      <c r="J77" s="25">
        <f>SUM(B77:I77)</f>
        <v>78200</v>
      </c>
      <c r="K77" s="25"/>
      <c r="L77" s="141"/>
      <c r="M77" s="58" t="s">
        <v>46</v>
      </c>
      <c r="N77" s="49">
        <f>N78*N43</f>
        <v>0</v>
      </c>
      <c r="O77" s="49">
        <f t="shared" ref="O77:X77" si="98">O78*O43</f>
        <v>23600</v>
      </c>
      <c r="P77" s="49">
        <f t="shared" si="98"/>
        <v>70800</v>
      </c>
      <c r="Q77" s="49">
        <f t="shared" si="98"/>
        <v>64000</v>
      </c>
      <c r="R77" s="49">
        <f t="shared" si="98"/>
        <v>80000</v>
      </c>
      <c r="S77" s="49">
        <f t="shared" si="98"/>
        <v>113833.99209486166</v>
      </c>
      <c r="T77" s="49">
        <f t="shared" si="98"/>
        <v>153452.68542199489</v>
      </c>
      <c r="U77" s="49">
        <f t="shared" si="98"/>
        <v>150724.63768115942</v>
      </c>
      <c r="V77" s="49">
        <f t="shared" si="98"/>
        <v>138626.33900441084</v>
      </c>
      <c r="W77" s="49">
        <f t="shared" si="98"/>
        <v>103795.72118702553</v>
      </c>
      <c r="X77" s="49">
        <f t="shared" si="98"/>
        <v>224099.37888198756</v>
      </c>
      <c r="Y77" s="49">
        <f>Y78*Y43</f>
        <v>147157.19063545149</v>
      </c>
      <c r="Z77" s="49">
        <f>SUM(N77:Y77)</f>
        <v>1270089.9449068916</v>
      </c>
      <c r="AA77" s="49"/>
      <c r="AB77" s="163"/>
      <c r="AC77" s="72" t="s">
        <v>46</v>
      </c>
      <c r="AD77" s="74">
        <f>AD78*AD43</f>
        <v>54000</v>
      </c>
      <c r="AE77" s="74">
        <f t="shared" ref="AE77:AO77" si="99">AE78*AE43</f>
        <v>68800</v>
      </c>
      <c r="AF77" s="74">
        <f t="shared" si="99"/>
        <v>82000</v>
      </c>
      <c r="AG77" s="74">
        <f t="shared" si="99"/>
        <v>99330</v>
      </c>
      <c r="AH77" s="74">
        <f t="shared" si="99"/>
        <v>137600</v>
      </c>
      <c r="AI77" s="74">
        <f t="shared" si="99"/>
        <v>182624</v>
      </c>
      <c r="AJ77" s="74">
        <f t="shared" si="99"/>
        <v>208320</v>
      </c>
      <c r="AK77" s="74">
        <f t="shared" si="99"/>
        <v>233070</v>
      </c>
      <c r="AL77" s="74">
        <f t="shared" si="99"/>
        <v>268416</v>
      </c>
      <c r="AM77" s="74">
        <f t="shared" si="99"/>
        <v>228000</v>
      </c>
      <c r="AN77" s="74">
        <f t="shared" si="99"/>
        <v>201344</v>
      </c>
      <c r="AO77" s="74">
        <f t="shared" si="99"/>
        <v>177480</v>
      </c>
      <c r="AP77" s="74">
        <f t="shared" si="82"/>
        <v>1940984</v>
      </c>
    </row>
    <row r="78" spans="1:42" s="3" customFormat="1" ht="30" customHeight="1">
      <c r="A78" s="31" t="s">
        <v>62</v>
      </c>
      <c r="B78" s="32">
        <v>0</v>
      </c>
      <c r="C78" s="32">
        <f>C77/C43</f>
        <v>0.63569682151589246</v>
      </c>
      <c r="D78" s="32">
        <f t="shared" ref="D78:G78" si="100">D77/D43</f>
        <v>0.62962962962962965</v>
      </c>
      <c r="E78" s="32">
        <v>0</v>
      </c>
      <c r="F78" s="32">
        <v>0</v>
      </c>
      <c r="G78" s="32">
        <f t="shared" si="100"/>
        <v>0.62758620689655176</v>
      </c>
      <c r="H78" s="32">
        <v>0</v>
      </c>
      <c r="I78" s="32">
        <v>0</v>
      </c>
      <c r="J78" s="32">
        <f>J77/J43</f>
        <v>0.63115415657788543</v>
      </c>
      <c r="K78" s="32"/>
      <c r="L78" s="141"/>
      <c r="M78" s="57" t="s">
        <v>62</v>
      </c>
      <c r="N78" s="62">
        <v>0</v>
      </c>
      <c r="O78" s="62">
        <v>0.59</v>
      </c>
      <c r="P78" s="62">
        <v>0.59</v>
      </c>
      <c r="Q78" s="62">
        <v>0.4</v>
      </c>
      <c r="R78" s="62">
        <v>0.4</v>
      </c>
      <c r="S78" s="64">
        <v>0.35573122529644269</v>
      </c>
      <c r="T78" s="64">
        <v>0.31969309462915602</v>
      </c>
      <c r="U78" s="64">
        <v>0.28985507246376813</v>
      </c>
      <c r="V78" s="64">
        <v>0.31505986137366099</v>
      </c>
      <c r="W78" s="64">
        <v>0.32436162870945479</v>
      </c>
      <c r="X78" s="64">
        <v>0.50931677018633537</v>
      </c>
      <c r="Y78" s="64">
        <v>0.33444816053511706</v>
      </c>
      <c r="Z78" s="63">
        <f>Z77/Z43</f>
        <v>0.36496837497324469</v>
      </c>
      <c r="AA78" s="63"/>
      <c r="AB78" s="163"/>
      <c r="AC78" s="76" t="s">
        <v>62</v>
      </c>
      <c r="AD78" s="81">
        <v>0.45</v>
      </c>
      <c r="AE78" s="81">
        <v>0.43</v>
      </c>
      <c r="AF78" s="81">
        <v>0.41</v>
      </c>
      <c r="AG78" s="81">
        <v>0.33</v>
      </c>
      <c r="AH78" s="81">
        <v>0.32</v>
      </c>
      <c r="AI78" s="81">
        <v>0.32</v>
      </c>
      <c r="AJ78" s="81">
        <v>0.31</v>
      </c>
      <c r="AK78" s="81">
        <v>0.3</v>
      </c>
      <c r="AL78" s="81">
        <v>0.32</v>
      </c>
      <c r="AM78" s="81">
        <v>0.32</v>
      </c>
      <c r="AN78" s="81">
        <v>0.32</v>
      </c>
      <c r="AO78" s="81">
        <v>0.3</v>
      </c>
      <c r="AP78" s="82">
        <f>AP77/AP43</f>
        <v>0.32335182501207788</v>
      </c>
    </row>
    <row r="79" spans="1:42" ht="30" customHeight="1">
      <c r="A79" s="29" t="s">
        <v>50</v>
      </c>
      <c r="B79" s="34">
        <f>B80*B50</f>
        <v>74909.350000000006</v>
      </c>
      <c r="C79" s="34">
        <f t="shared" ref="C79:I79" si="101">C80*C50</f>
        <v>133185</v>
      </c>
      <c r="D79" s="34">
        <f t="shared" si="101"/>
        <v>104580</v>
      </c>
      <c r="E79" s="34">
        <f t="shared" si="101"/>
        <v>52334.1</v>
      </c>
      <c r="F79" s="34">
        <f t="shared" si="101"/>
        <v>127386</v>
      </c>
      <c r="G79" s="34">
        <f t="shared" si="101"/>
        <v>29370.6</v>
      </c>
      <c r="H79" s="34">
        <f t="shared" si="101"/>
        <v>64386</v>
      </c>
      <c r="I79" s="34">
        <f t="shared" si="101"/>
        <v>54432</v>
      </c>
      <c r="J79" s="25">
        <f>SUM(B79:I79)</f>
        <v>640583.04999999993</v>
      </c>
      <c r="K79" s="25"/>
      <c r="L79" s="141"/>
      <c r="M79" s="58" t="s">
        <v>50</v>
      </c>
      <c r="N79" s="49">
        <v>0</v>
      </c>
      <c r="O79" s="49">
        <v>0</v>
      </c>
      <c r="P79" s="49">
        <f>P80*P50</f>
        <v>45964.54</v>
      </c>
      <c r="Q79" s="49">
        <f t="shared" ref="Q79:Y79" si="102">Q80*Q50</f>
        <v>112963.7</v>
      </c>
      <c r="R79" s="49">
        <f t="shared" si="102"/>
        <v>225927.4</v>
      </c>
      <c r="S79" s="49">
        <f t="shared" si="102"/>
        <v>399657.77999999997</v>
      </c>
      <c r="T79" s="49">
        <f t="shared" si="102"/>
        <v>577283.46</v>
      </c>
      <c r="U79" s="49">
        <f t="shared" si="102"/>
        <v>807106.16</v>
      </c>
      <c r="V79" s="49">
        <f t="shared" si="102"/>
        <v>916174.56</v>
      </c>
      <c r="W79" s="49">
        <f t="shared" si="102"/>
        <v>214241.50000000003</v>
      </c>
      <c r="X79" s="49">
        <f t="shared" si="102"/>
        <v>420692.4</v>
      </c>
      <c r="Y79" s="49">
        <f t="shared" si="102"/>
        <v>84138.48000000001</v>
      </c>
      <c r="Z79" s="49">
        <f>SUM(N79:Y79)</f>
        <v>3804149.98</v>
      </c>
      <c r="AA79" s="49"/>
      <c r="AB79" s="163"/>
      <c r="AC79" s="72" t="s">
        <v>50</v>
      </c>
      <c r="AD79" s="74">
        <f>AD80*AD50</f>
        <v>0</v>
      </c>
      <c r="AE79" s="74">
        <f t="shared" ref="AE79:AO79" si="103">AE80*AE50</f>
        <v>0</v>
      </c>
      <c r="AF79" s="74">
        <f t="shared" si="103"/>
        <v>63103.86</v>
      </c>
      <c r="AG79" s="74">
        <f t="shared" si="103"/>
        <v>123870.54000000001</v>
      </c>
      <c r="AH79" s="74">
        <f t="shared" si="103"/>
        <v>295222.72000000003</v>
      </c>
      <c r="AI79" s="74">
        <f t="shared" si="103"/>
        <v>635864.32000000007</v>
      </c>
      <c r="AJ79" s="74">
        <f t="shared" si="103"/>
        <v>935800.32000000007</v>
      </c>
      <c r="AK79" s="74">
        <f t="shared" si="103"/>
        <v>1314576.6400000001</v>
      </c>
      <c r="AL79" s="74">
        <f t="shared" si="103"/>
        <v>1604229.1200000001</v>
      </c>
      <c r="AM79" s="74">
        <f t="shared" si="103"/>
        <v>502607.04000000004</v>
      </c>
      <c r="AN79" s="74">
        <f t="shared" si="103"/>
        <v>152967.36000000002</v>
      </c>
      <c r="AO79" s="74">
        <f t="shared" si="103"/>
        <v>109262.40000000001</v>
      </c>
      <c r="AP79" s="74">
        <f t="shared" si="82"/>
        <v>5737504.3200000012</v>
      </c>
    </row>
    <row r="80" spans="1:42" s="3" customFormat="1" ht="30" customHeight="1">
      <c r="A80" s="31" t="s">
        <v>62</v>
      </c>
      <c r="B80" s="32">
        <v>0.67</v>
      </c>
      <c r="C80" s="35">
        <v>0.65</v>
      </c>
      <c r="D80" s="35">
        <v>0.63</v>
      </c>
      <c r="E80" s="35">
        <v>0.63</v>
      </c>
      <c r="F80" s="35">
        <v>0.63</v>
      </c>
      <c r="G80" s="35">
        <v>0.63</v>
      </c>
      <c r="H80" s="35">
        <v>0.63</v>
      </c>
      <c r="I80" s="33">
        <v>0.63</v>
      </c>
      <c r="J80" s="32">
        <f>J79/J50</f>
        <v>0.63854290541719205</v>
      </c>
      <c r="K80" s="32"/>
      <c r="L80" s="141"/>
      <c r="M80" s="57" t="s">
        <v>62</v>
      </c>
      <c r="N80" s="64">
        <v>0</v>
      </c>
      <c r="O80" s="64">
        <v>0</v>
      </c>
      <c r="P80" s="62">
        <v>0.59</v>
      </c>
      <c r="Q80" s="62">
        <v>0.57999999999999996</v>
      </c>
      <c r="R80" s="62">
        <v>0.57999999999999996</v>
      </c>
      <c r="S80" s="62">
        <v>0.56999999999999995</v>
      </c>
      <c r="T80" s="62">
        <v>0.56999999999999995</v>
      </c>
      <c r="U80" s="62">
        <v>0.56000000000000005</v>
      </c>
      <c r="V80" s="62">
        <v>0.56000000000000005</v>
      </c>
      <c r="W80" s="62">
        <v>0.55000000000000004</v>
      </c>
      <c r="X80" s="62">
        <v>0.54</v>
      </c>
      <c r="Y80" s="62">
        <v>0.54</v>
      </c>
      <c r="Z80" s="63">
        <f>Z79/Z50</f>
        <v>0.5612643678160919</v>
      </c>
      <c r="AA80" s="63"/>
      <c r="AB80" s="163"/>
      <c r="AC80" s="76" t="s">
        <v>62</v>
      </c>
      <c r="AD80" s="81">
        <v>0</v>
      </c>
      <c r="AE80" s="81">
        <v>0</v>
      </c>
      <c r="AF80" s="81">
        <v>0.54</v>
      </c>
      <c r="AG80" s="81">
        <v>0.53</v>
      </c>
      <c r="AH80" s="81">
        <v>0.53</v>
      </c>
      <c r="AI80" s="81">
        <v>0.53</v>
      </c>
      <c r="AJ80" s="81">
        <v>0.52</v>
      </c>
      <c r="AK80" s="81">
        <v>0.52</v>
      </c>
      <c r="AL80" s="81">
        <v>0.52</v>
      </c>
      <c r="AM80" s="81">
        <v>0.51</v>
      </c>
      <c r="AN80" s="81">
        <v>0.51</v>
      </c>
      <c r="AO80" s="81">
        <v>0.51</v>
      </c>
      <c r="AP80" s="82">
        <f>AP79/AP50</f>
        <v>0.52065747896341197</v>
      </c>
    </row>
    <row r="81" spans="1:43" ht="30" customHeight="1">
      <c r="A81" s="29" t="s">
        <v>49</v>
      </c>
      <c r="B81" s="30">
        <v>0</v>
      </c>
      <c r="C81" s="30">
        <v>0</v>
      </c>
      <c r="D81" s="30">
        <f>D82*D53</f>
        <v>45360.000000000007</v>
      </c>
      <c r="E81" s="30">
        <v>0</v>
      </c>
      <c r="F81" s="30">
        <v>80000</v>
      </c>
      <c r="G81" s="30">
        <v>0</v>
      </c>
      <c r="H81" s="30">
        <v>26000</v>
      </c>
      <c r="I81" s="25">
        <v>0</v>
      </c>
      <c r="J81" s="25">
        <f>SUM(B81:I81)</f>
        <v>151360</v>
      </c>
      <c r="K81" s="25"/>
      <c r="L81" s="141"/>
      <c r="M81" s="58" t="s">
        <v>49</v>
      </c>
      <c r="N81" s="49">
        <v>0</v>
      </c>
      <c r="O81" s="49">
        <v>0</v>
      </c>
      <c r="P81" s="49">
        <f>P82*P53</f>
        <v>0</v>
      </c>
      <c r="Q81" s="49">
        <f t="shared" ref="Q81:Y81" si="104">Q82*Q53</f>
        <v>30250.000000000004</v>
      </c>
      <c r="R81" s="49">
        <f t="shared" si="104"/>
        <v>64800.000000000007</v>
      </c>
      <c r="S81" s="49">
        <f t="shared" si="104"/>
        <v>140400</v>
      </c>
      <c r="T81" s="49">
        <f t="shared" si="104"/>
        <v>222600</v>
      </c>
      <c r="U81" s="49">
        <f t="shared" si="104"/>
        <v>339200</v>
      </c>
      <c r="V81" s="49">
        <f t="shared" si="104"/>
        <v>259700</v>
      </c>
      <c r="W81" s="49">
        <f t="shared" si="104"/>
        <v>148400</v>
      </c>
      <c r="X81" s="49">
        <f t="shared" si="104"/>
        <v>95400</v>
      </c>
      <c r="Y81" s="49">
        <f t="shared" si="104"/>
        <v>0</v>
      </c>
      <c r="Z81" s="49">
        <f>SUM(N81:Y81)</f>
        <v>1300750</v>
      </c>
      <c r="AA81" s="49"/>
      <c r="AB81" s="163"/>
      <c r="AC81" s="72" t="s">
        <v>49</v>
      </c>
      <c r="AD81" s="74">
        <f>AD82*AD53</f>
        <v>0</v>
      </c>
      <c r="AE81" s="74">
        <f t="shared" ref="AE81:AO81" si="105">AE82*AE53</f>
        <v>0</v>
      </c>
      <c r="AF81" s="74">
        <f t="shared" si="105"/>
        <v>111300</v>
      </c>
      <c r="AG81" s="74">
        <f t="shared" si="105"/>
        <v>148400</v>
      </c>
      <c r="AH81" s="74">
        <f t="shared" si="105"/>
        <v>259700</v>
      </c>
      <c r="AI81" s="74">
        <f t="shared" si="105"/>
        <v>405600</v>
      </c>
      <c r="AJ81" s="74">
        <f t="shared" si="105"/>
        <v>540800</v>
      </c>
      <c r="AK81" s="74">
        <f t="shared" si="105"/>
        <v>709800</v>
      </c>
      <c r="AL81" s="74">
        <f t="shared" si="105"/>
        <v>1027650</v>
      </c>
      <c r="AM81" s="74">
        <f t="shared" si="105"/>
        <v>714000</v>
      </c>
      <c r="AN81" s="74">
        <f t="shared" si="105"/>
        <v>214200</v>
      </c>
      <c r="AO81" s="74">
        <f t="shared" si="105"/>
        <v>140000</v>
      </c>
      <c r="AP81" s="74">
        <f t="shared" si="82"/>
        <v>4271450</v>
      </c>
    </row>
    <row r="82" spans="1:43" s="3" customFormat="1" ht="30" customHeight="1">
      <c r="A82" s="31" t="s">
        <v>62</v>
      </c>
      <c r="B82" s="36">
        <v>0</v>
      </c>
      <c r="C82" s="36">
        <v>0</v>
      </c>
      <c r="D82" s="35">
        <v>0.56000000000000005</v>
      </c>
      <c r="E82" s="36">
        <v>0</v>
      </c>
      <c r="F82" s="32">
        <f>F81/F53</f>
        <v>0.55944055944055948</v>
      </c>
      <c r="G82" s="36">
        <v>0</v>
      </c>
      <c r="H82" s="32">
        <f>H81/H53</f>
        <v>0.54166666666666663</v>
      </c>
      <c r="I82" s="27">
        <v>0</v>
      </c>
      <c r="J82" s="32">
        <f>AVERAGE(D82,F82,H82)</f>
        <v>0.55370240870240872</v>
      </c>
      <c r="K82" s="32"/>
      <c r="L82" s="141"/>
      <c r="M82" s="57" t="s">
        <v>62</v>
      </c>
      <c r="N82" s="64">
        <v>0</v>
      </c>
      <c r="O82" s="64">
        <v>0</v>
      </c>
      <c r="P82" s="62">
        <v>0</v>
      </c>
      <c r="Q82" s="62">
        <v>0.55000000000000004</v>
      </c>
      <c r="R82" s="62">
        <v>0.54</v>
      </c>
      <c r="S82" s="62">
        <v>0.54</v>
      </c>
      <c r="T82" s="62">
        <v>0.53</v>
      </c>
      <c r="U82" s="62">
        <v>0.53</v>
      </c>
      <c r="V82" s="62">
        <v>0.53</v>
      </c>
      <c r="W82" s="62">
        <v>0.53</v>
      </c>
      <c r="X82" s="62">
        <v>0.53</v>
      </c>
      <c r="Y82" s="62">
        <v>0.53</v>
      </c>
      <c r="Z82" s="63">
        <f>Z81/Z53</f>
        <v>0.53200408997955007</v>
      </c>
      <c r="AA82" s="63"/>
      <c r="AB82" s="163"/>
      <c r="AC82" s="76" t="s">
        <v>62</v>
      </c>
      <c r="AD82" s="81">
        <v>0</v>
      </c>
      <c r="AE82" s="81">
        <v>0</v>
      </c>
      <c r="AF82" s="81">
        <v>0.53</v>
      </c>
      <c r="AG82" s="81">
        <v>0.53</v>
      </c>
      <c r="AH82" s="81">
        <v>0.53</v>
      </c>
      <c r="AI82" s="81">
        <v>0.52</v>
      </c>
      <c r="AJ82" s="81">
        <v>0.52</v>
      </c>
      <c r="AK82" s="81">
        <v>0.52</v>
      </c>
      <c r="AL82" s="81">
        <v>0.51</v>
      </c>
      <c r="AM82" s="81">
        <v>0.51</v>
      </c>
      <c r="AN82" s="81">
        <v>0.51</v>
      </c>
      <c r="AO82" s="81">
        <v>0.5</v>
      </c>
      <c r="AP82" s="82">
        <f>AP81/AP53</f>
        <v>0.5158756038647343</v>
      </c>
    </row>
    <row r="83" spans="1:43" ht="30" customHeight="1">
      <c r="A83" s="37" t="s">
        <v>7</v>
      </c>
      <c r="B83" s="10">
        <f t="shared" ref="B83:I83" si="106">B79+B75+B73+B77+B71+B69+B67+B65+B63+B81</f>
        <v>897728.30999999994</v>
      </c>
      <c r="C83" s="10">
        <f t="shared" si="106"/>
        <v>2140908.5099999998</v>
      </c>
      <c r="D83" s="10">
        <f t="shared" si="106"/>
        <v>2182549.34</v>
      </c>
      <c r="E83" s="10">
        <f t="shared" si="106"/>
        <v>2085432.31</v>
      </c>
      <c r="F83" s="10">
        <f t="shared" si="106"/>
        <v>1827472.02</v>
      </c>
      <c r="G83" s="10">
        <f t="shared" si="106"/>
        <v>1092535.7</v>
      </c>
      <c r="H83" s="10">
        <f t="shared" si="106"/>
        <v>995883.3</v>
      </c>
      <c r="I83" s="10">
        <f t="shared" si="106"/>
        <v>1736600.5899999999</v>
      </c>
      <c r="J83" s="10">
        <f>SUM(B83:I83)</f>
        <v>12959110.08</v>
      </c>
      <c r="K83" s="10"/>
      <c r="L83" s="141"/>
      <c r="M83" s="46" t="s">
        <v>7</v>
      </c>
      <c r="N83" s="47">
        <f>N63+N65+N67+N69+N71+N73+N75+N77+N79+N81</f>
        <v>943352.4</v>
      </c>
      <c r="O83" s="47">
        <f t="shared" ref="O83:Y83" si="107">O63+O65+O67+O69+O71+O73+O75+O77+O79+O81</f>
        <v>5198797.3339999998</v>
      </c>
      <c r="P83" s="47">
        <f t="shared" si="107"/>
        <v>6625776.0506259995</v>
      </c>
      <c r="Q83" s="47">
        <f t="shared" si="107"/>
        <v>9974509.7836508788</v>
      </c>
      <c r="R83" s="47">
        <f t="shared" si="107"/>
        <v>13271527.6295017</v>
      </c>
      <c r="S83" s="47">
        <f t="shared" si="107"/>
        <v>15856029.678389095</v>
      </c>
      <c r="T83" s="47">
        <f t="shared" si="107"/>
        <v>21062115.61405208</v>
      </c>
      <c r="U83" s="47">
        <f t="shared" si="107"/>
        <v>26012027.374961048</v>
      </c>
      <c r="V83" s="47">
        <f t="shared" si="107"/>
        <v>27140793.635514416</v>
      </c>
      <c r="W83" s="47">
        <f t="shared" si="107"/>
        <v>25376115.920567028</v>
      </c>
      <c r="X83" s="47">
        <f t="shared" si="107"/>
        <v>27901852.47272199</v>
      </c>
      <c r="Y83" s="47">
        <f t="shared" si="107"/>
        <v>29380741.640075456</v>
      </c>
      <c r="Z83" s="47">
        <f>SUM(N83:Y83)</f>
        <v>208743639.5340597</v>
      </c>
      <c r="AA83" s="93"/>
      <c r="AB83" s="163"/>
      <c r="AC83" s="72" t="s">
        <v>7</v>
      </c>
      <c r="AD83" s="73">
        <f>AD63+AD65+AD67+AD69+AD71+AD73+AD75+AD77+AD79+AD81</f>
        <v>35059748.799999997</v>
      </c>
      <c r="AE83" s="73">
        <f t="shared" ref="AE83:AO83" si="108">AE63+AE65+AE67+AE69+AE71+AE73+AE75+AE77+AE79+AE81</f>
        <v>40436157.32</v>
      </c>
      <c r="AF83" s="73">
        <f t="shared" si="108"/>
        <v>44071117.379999995</v>
      </c>
      <c r="AG83" s="73">
        <f t="shared" si="108"/>
        <v>46432053.82</v>
      </c>
      <c r="AH83" s="73">
        <f t="shared" si="108"/>
        <v>49447077.600000001</v>
      </c>
      <c r="AI83" s="73">
        <f t="shared" si="108"/>
        <v>57419523.350000001</v>
      </c>
      <c r="AJ83" s="73">
        <f t="shared" si="108"/>
        <v>60860304.259999998</v>
      </c>
      <c r="AK83" s="73">
        <f t="shared" si="108"/>
        <v>65583163.590000004</v>
      </c>
      <c r="AL83" s="73">
        <f t="shared" si="108"/>
        <v>69926322.939999998</v>
      </c>
      <c r="AM83" s="73">
        <f t="shared" si="108"/>
        <v>71347844.940000013</v>
      </c>
      <c r="AN83" s="73">
        <f t="shared" si="108"/>
        <v>73135558.540000007</v>
      </c>
      <c r="AO83" s="73">
        <f t="shared" si="108"/>
        <v>77816111.469999999</v>
      </c>
      <c r="AP83" s="73">
        <f t="shared" si="82"/>
        <v>691534984.00999999</v>
      </c>
    </row>
    <row r="84" spans="1:43" ht="30" customHeight="1">
      <c r="A84" s="9" t="s">
        <v>62</v>
      </c>
      <c r="B84" s="32">
        <f t="shared" ref="B84:J84" si="109">B83/B5</f>
        <v>0.69403092696631385</v>
      </c>
      <c r="C84" s="32">
        <f t="shared" si="109"/>
        <v>0.56733051767080855</v>
      </c>
      <c r="D84" s="32">
        <f t="shared" si="109"/>
        <v>0.55565580924060809</v>
      </c>
      <c r="E84" s="32">
        <f t="shared" si="109"/>
        <v>0.5348131747571272</v>
      </c>
      <c r="F84" s="32">
        <f t="shared" si="109"/>
        <v>0.61760034849752687</v>
      </c>
      <c r="G84" s="32">
        <f t="shared" si="109"/>
        <v>0.63439701445390795</v>
      </c>
      <c r="H84" s="32">
        <f t="shared" si="109"/>
        <v>0.62887499644795553</v>
      </c>
      <c r="I84" s="32">
        <f t="shared" si="109"/>
        <v>0.63498724797146755</v>
      </c>
      <c r="J84" s="32">
        <f t="shared" si="109"/>
        <v>0.59271440308920542</v>
      </c>
      <c r="K84" s="32"/>
      <c r="L84" s="141"/>
      <c r="M84" s="46" t="s">
        <v>62</v>
      </c>
      <c r="N84" s="64">
        <f t="shared" ref="N84:Y84" si="110">N83/N5</f>
        <v>0.61085134984627576</v>
      </c>
      <c r="O84" s="64">
        <f t="shared" si="110"/>
        <v>0.71903259196555769</v>
      </c>
      <c r="P84" s="64">
        <f t="shared" si="110"/>
        <v>0.67437991298904998</v>
      </c>
      <c r="Q84" s="64">
        <f t="shared" si="110"/>
        <v>0.63767371388668059</v>
      </c>
      <c r="R84" s="64">
        <f t="shared" si="110"/>
        <v>0.62294726983136139</v>
      </c>
      <c r="S84" s="64">
        <f t="shared" si="110"/>
        <v>0.58755928517063027</v>
      </c>
      <c r="T84" s="64">
        <f t="shared" si="110"/>
        <v>0.58280766887352153</v>
      </c>
      <c r="U84" s="64">
        <f t="shared" si="110"/>
        <v>0.58969817868212515</v>
      </c>
      <c r="V84" s="64">
        <f t="shared" si="110"/>
        <v>0.60048652665504154</v>
      </c>
      <c r="W84" s="64">
        <f t="shared" si="110"/>
        <v>0.62090072865699619</v>
      </c>
      <c r="X84" s="64">
        <f t="shared" si="110"/>
        <v>0.61624348055898803</v>
      </c>
      <c r="Y84" s="64">
        <f t="shared" si="110"/>
        <v>0.58862419555601919</v>
      </c>
      <c r="Z84" s="64">
        <f>Z83/Z58</f>
        <v>0.6067396828744086</v>
      </c>
      <c r="AA84" s="95"/>
      <c r="AB84" s="163"/>
      <c r="AC84" s="72" t="s">
        <v>62</v>
      </c>
      <c r="AD84" s="82">
        <f>AD83/AD58</f>
        <v>0.67557050565215304</v>
      </c>
      <c r="AE84" s="82">
        <f t="shared" ref="AE84:AO84" si="111">AE83/AE58</f>
        <v>0.66780556700874971</v>
      </c>
      <c r="AF84" s="82">
        <f t="shared" si="111"/>
        <v>0.65966325785427293</v>
      </c>
      <c r="AG84" s="82">
        <f t="shared" si="111"/>
        <v>0.62200825081628441</v>
      </c>
      <c r="AH84" s="82">
        <f t="shared" si="111"/>
        <v>0.6090050755598273</v>
      </c>
      <c r="AI84" s="82">
        <f t="shared" si="111"/>
        <v>0.60197839661712593</v>
      </c>
      <c r="AJ84" s="82">
        <f t="shared" si="111"/>
        <v>0.5893446046265044</v>
      </c>
      <c r="AK84" s="82">
        <f t="shared" si="111"/>
        <v>0.57989789222854937</v>
      </c>
      <c r="AL84" s="82">
        <f t="shared" si="111"/>
        <v>0.60475863732939206</v>
      </c>
      <c r="AM84" s="82">
        <f t="shared" si="111"/>
        <v>0.61960327970133722</v>
      </c>
      <c r="AN84" s="82">
        <f t="shared" si="111"/>
        <v>0.61439093560906222</v>
      </c>
      <c r="AO84" s="82">
        <f t="shared" si="111"/>
        <v>0.59681858225157369</v>
      </c>
      <c r="AP84" s="82">
        <f>AP83/AP58</f>
        <v>0.61358269727435699</v>
      </c>
    </row>
    <row r="85" spans="1:43" ht="30" customHeight="1">
      <c r="A85" s="9"/>
      <c r="B85" s="135" t="s">
        <v>72</v>
      </c>
      <c r="C85" s="136"/>
      <c r="D85" s="136"/>
      <c r="E85" s="136"/>
      <c r="F85" s="136"/>
      <c r="G85" s="136"/>
      <c r="H85" s="136"/>
      <c r="I85" s="136"/>
      <c r="J85" s="137"/>
      <c r="K85" s="94"/>
      <c r="L85" s="141"/>
      <c r="M85" s="46"/>
      <c r="N85" s="138" t="s">
        <v>72</v>
      </c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39"/>
      <c r="AA85" s="95"/>
      <c r="AB85" s="163"/>
      <c r="AC85" s="72"/>
      <c r="AD85" s="177" t="s">
        <v>72</v>
      </c>
      <c r="AE85" s="178"/>
      <c r="AF85" s="178"/>
      <c r="AG85" s="178"/>
      <c r="AH85" s="178"/>
      <c r="AI85" s="178"/>
      <c r="AJ85" s="178"/>
      <c r="AK85" s="178"/>
      <c r="AL85" s="178"/>
      <c r="AM85" s="178"/>
      <c r="AN85" s="178"/>
      <c r="AO85" s="178"/>
      <c r="AP85" s="179"/>
    </row>
    <row r="86" spans="1:43" ht="56.25" customHeight="1">
      <c r="A86" s="38" t="s">
        <v>76</v>
      </c>
      <c r="B86" s="39">
        <f t="shared" ref="B86:J86" si="112">B5-B83</f>
        <v>395770.69000000006</v>
      </c>
      <c r="C86" s="39">
        <f t="shared" si="112"/>
        <v>1632744.4900000002</v>
      </c>
      <c r="D86" s="39">
        <f t="shared" si="112"/>
        <v>1745330.6600000001</v>
      </c>
      <c r="E86" s="39">
        <f t="shared" si="112"/>
        <v>1813933.69</v>
      </c>
      <c r="F86" s="39">
        <f t="shared" si="112"/>
        <v>1131515.98</v>
      </c>
      <c r="G86" s="39">
        <f t="shared" si="112"/>
        <v>629628.30000000005</v>
      </c>
      <c r="H86" s="39">
        <f t="shared" si="112"/>
        <v>587711.69999999995</v>
      </c>
      <c r="I86" s="39">
        <f t="shared" si="112"/>
        <v>998258.41000000015</v>
      </c>
      <c r="J86" s="39">
        <f t="shared" si="112"/>
        <v>8904893.9199999999</v>
      </c>
      <c r="K86" s="39"/>
      <c r="L86" s="141"/>
      <c r="M86" s="84" t="s">
        <v>81</v>
      </c>
      <c r="N86" s="39">
        <f t="shared" ref="N86:Y86" si="113">N5-N83</f>
        <v>600971.6</v>
      </c>
      <c r="O86" s="39">
        <f t="shared" si="113"/>
        <v>2031469.2659999998</v>
      </c>
      <c r="P86" s="39">
        <f t="shared" si="113"/>
        <v>3199214.1707740007</v>
      </c>
      <c r="Q86" s="39">
        <f t="shared" si="113"/>
        <v>5667517.7398851216</v>
      </c>
      <c r="R86" s="39">
        <f t="shared" si="113"/>
        <v>8032888.1248115785</v>
      </c>
      <c r="S86" s="39">
        <f t="shared" si="113"/>
        <v>11130233.799320087</v>
      </c>
      <c r="T86" s="39">
        <f t="shared" si="113"/>
        <v>15076934.606000692</v>
      </c>
      <c r="U86" s="39">
        <f t="shared" si="113"/>
        <v>18098719.979038745</v>
      </c>
      <c r="V86" s="39">
        <f t="shared" si="113"/>
        <v>18057212.365885593</v>
      </c>
      <c r="W86" s="39">
        <f t="shared" si="113"/>
        <v>15493728.080832981</v>
      </c>
      <c r="X86" s="39">
        <f t="shared" si="113"/>
        <v>17375466.238078017</v>
      </c>
      <c r="Y86" s="39">
        <f t="shared" si="113"/>
        <v>20533519.210724551</v>
      </c>
      <c r="Z86" s="39">
        <f>SUM(N86:Y86)</f>
        <v>135297875.18135136</v>
      </c>
      <c r="AA86" s="93"/>
      <c r="AB86" s="163"/>
      <c r="AC86" s="84" t="s">
        <v>76</v>
      </c>
      <c r="AD86" s="39">
        <f>AD58-AD83</f>
        <v>16836757.200000003</v>
      </c>
      <c r="AE86" s="39">
        <f t="shared" ref="AE86:AP86" si="114">AE58-AE83</f>
        <v>20114636.68</v>
      </c>
      <c r="AF86" s="39">
        <f t="shared" si="114"/>
        <v>22737389.620000005</v>
      </c>
      <c r="AG86" s="39">
        <f t="shared" si="114"/>
        <v>28216560.18</v>
      </c>
      <c r="AH86" s="39">
        <f t="shared" si="114"/>
        <v>31746133.399999999</v>
      </c>
      <c r="AI86" s="39">
        <f t="shared" si="114"/>
        <v>37965167.649999999</v>
      </c>
      <c r="AJ86" s="39">
        <f t="shared" si="114"/>
        <v>42407467.740000002</v>
      </c>
      <c r="AK86" s="39">
        <f t="shared" si="114"/>
        <v>47511166.409999996</v>
      </c>
      <c r="AL86" s="39">
        <f t="shared" si="114"/>
        <v>45700505.060000002</v>
      </c>
      <c r="AM86" s="39">
        <f t="shared" si="114"/>
        <v>43803006.059999987</v>
      </c>
      <c r="AN86" s="39">
        <f t="shared" si="114"/>
        <v>45901937.459999993</v>
      </c>
      <c r="AO86" s="39">
        <f t="shared" si="114"/>
        <v>52568755.530000001</v>
      </c>
      <c r="AP86" s="39">
        <f t="shared" si="114"/>
        <v>435509482.99000001</v>
      </c>
    </row>
    <row r="87" spans="1:43" ht="30" customHeight="1">
      <c r="A87" s="40" t="s">
        <v>53</v>
      </c>
      <c r="B87" s="25">
        <f t="shared" ref="B87:J87" si="115">B12-B63</f>
        <v>196115.11000000004</v>
      </c>
      <c r="C87" s="25">
        <f t="shared" si="115"/>
        <v>652830.84000000008</v>
      </c>
      <c r="D87" s="25">
        <f t="shared" si="115"/>
        <v>709745.76</v>
      </c>
      <c r="E87" s="25">
        <f t="shared" si="115"/>
        <v>731207.69</v>
      </c>
      <c r="F87" s="25">
        <f t="shared" si="115"/>
        <v>633419.28</v>
      </c>
      <c r="G87" s="25">
        <f t="shared" si="115"/>
        <v>342917.69999999995</v>
      </c>
      <c r="H87" s="25">
        <f t="shared" si="115"/>
        <v>416288.48</v>
      </c>
      <c r="I87" s="25">
        <f t="shared" si="115"/>
        <v>732913</v>
      </c>
      <c r="J87" s="25">
        <f t="shared" si="115"/>
        <v>4415437.8599999994</v>
      </c>
      <c r="K87" s="122">
        <f>J87/$J$86</f>
        <v>0.49584395947526338</v>
      </c>
      <c r="L87" s="141"/>
      <c r="M87" s="65" t="s">
        <v>53</v>
      </c>
      <c r="N87" s="49">
        <f t="shared" ref="N87:Z87" si="116">N12-N63</f>
        <v>516881.6</v>
      </c>
      <c r="O87" s="49">
        <f t="shared" si="116"/>
        <v>899811.6660000002</v>
      </c>
      <c r="P87" s="49">
        <f t="shared" si="116"/>
        <v>1204847.8207740001</v>
      </c>
      <c r="Q87" s="49">
        <f t="shared" si="116"/>
        <v>1477705.5398851202</v>
      </c>
      <c r="R87" s="49">
        <f t="shared" si="116"/>
        <v>1969694.5608115778</v>
      </c>
      <c r="S87" s="49">
        <f t="shared" si="116"/>
        <v>2714378.7314149491</v>
      </c>
      <c r="T87" s="49">
        <f t="shared" si="116"/>
        <v>3646708.8174226927</v>
      </c>
      <c r="U87" s="49">
        <f t="shared" si="116"/>
        <v>4227807.6271199072</v>
      </c>
      <c r="V87" s="49">
        <f t="shared" si="116"/>
        <v>3500460.4799999995</v>
      </c>
      <c r="W87" s="49">
        <f t="shared" si="116"/>
        <v>2854337.4</v>
      </c>
      <c r="X87" s="49">
        <f t="shared" si="116"/>
        <v>3486484.44</v>
      </c>
      <c r="Y87" s="49">
        <f t="shared" si="116"/>
        <v>5017323.1043999996</v>
      </c>
      <c r="Z87" s="49">
        <f t="shared" si="116"/>
        <v>31516441.787828252</v>
      </c>
      <c r="AA87" s="118">
        <f>Z87/$Z$86</f>
        <v>0.23294114372146685</v>
      </c>
      <c r="AB87" s="163"/>
      <c r="AC87" s="83" t="s">
        <v>53</v>
      </c>
      <c r="AD87" s="74">
        <f t="shared" ref="AD87:AP87" si="117">AD12-AD63</f>
        <v>3056258.4</v>
      </c>
      <c r="AE87" s="74">
        <f t="shared" si="117"/>
        <v>3434968.6799999997</v>
      </c>
      <c r="AF87" s="74">
        <f t="shared" si="117"/>
        <v>3955418.4799999995</v>
      </c>
      <c r="AG87" s="74">
        <f t="shared" si="117"/>
        <v>4371778.3199999994</v>
      </c>
      <c r="AH87" s="74">
        <f t="shared" si="117"/>
        <v>4916589.5999999996</v>
      </c>
      <c r="AI87" s="74">
        <f t="shared" si="117"/>
        <v>5525150.3999999994</v>
      </c>
      <c r="AJ87" s="74">
        <f t="shared" si="117"/>
        <v>6181494.5499999998</v>
      </c>
      <c r="AK87" s="74">
        <f t="shared" si="117"/>
        <v>6694245.25</v>
      </c>
      <c r="AL87" s="74">
        <f t="shared" si="117"/>
        <v>6010577.6499999994</v>
      </c>
      <c r="AM87" s="74">
        <f t="shared" si="117"/>
        <v>4592665</v>
      </c>
      <c r="AN87" s="74">
        <f t="shared" si="117"/>
        <v>5144947.5</v>
      </c>
      <c r="AO87" s="74">
        <f t="shared" si="117"/>
        <v>7470347.5</v>
      </c>
      <c r="AP87" s="74">
        <f t="shared" si="117"/>
        <v>61354441.329999991</v>
      </c>
      <c r="AQ87" s="120">
        <f>AO87/$AO$86</f>
        <v>0.14210622687723343</v>
      </c>
    </row>
    <row r="88" spans="1:43" ht="30" customHeight="1">
      <c r="A88" s="40" t="s">
        <v>52</v>
      </c>
      <c r="B88" s="25">
        <f t="shared" ref="B88:J88" si="118">B15-B65</f>
        <v>35920</v>
      </c>
      <c r="C88" s="25">
        <f t="shared" si="118"/>
        <v>524924.39999999991</v>
      </c>
      <c r="D88" s="25">
        <f t="shared" si="118"/>
        <v>649672.19999999995</v>
      </c>
      <c r="E88" s="25">
        <f t="shared" si="118"/>
        <v>824180</v>
      </c>
      <c r="F88" s="25">
        <f t="shared" si="118"/>
        <v>127755</v>
      </c>
      <c r="G88" s="25">
        <f t="shared" si="118"/>
        <v>20620</v>
      </c>
      <c r="H88" s="25">
        <f t="shared" si="118"/>
        <v>19200</v>
      </c>
      <c r="I88" s="25">
        <f t="shared" si="118"/>
        <v>23100.000000000004</v>
      </c>
      <c r="J88" s="25">
        <f t="shared" si="118"/>
        <v>2225371.6</v>
      </c>
      <c r="K88" s="123">
        <f t="shared" ref="K88:K96" si="119">J88/$J$86</f>
        <v>0.24990433574979634</v>
      </c>
      <c r="L88" s="141"/>
      <c r="M88" s="65" t="s">
        <v>52</v>
      </c>
      <c r="N88" s="49">
        <f t="shared" ref="N88:Z88" si="120">N15-N65</f>
        <v>0</v>
      </c>
      <c r="O88" s="49">
        <f t="shared" si="120"/>
        <v>405639</v>
      </c>
      <c r="P88" s="49">
        <f t="shared" si="120"/>
        <v>507048.75</v>
      </c>
      <c r="Q88" s="49">
        <f t="shared" si="120"/>
        <v>730150.2</v>
      </c>
      <c r="R88" s="49">
        <f t="shared" si="120"/>
        <v>851841.9</v>
      </c>
      <c r="S88" s="49">
        <f t="shared" si="120"/>
        <v>1070882.8</v>
      </c>
      <c r="T88" s="49">
        <f t="shared" si="120"/>
        <v>1472458</v>
      </c>
      <c r="U88" s="49">
        <f t="shared" si="120"/>
        <v>1766949.6</v>
      </c>
      <c r="V88" s="49">
        <f t="shared" si="120"/>
        <v>1030720.6000000001</v>
      </c>
      <c r="W88" s="49">
        <f t="shared" si="120"/>
        <v>883474.8</v>
      </c>
      <c r="X88" s="49">
        <f t="shared" si="120"/>
        <v>736229</v>
      </c>
      <c r="Y88" s="49">
        <f t="shared" si="120"/>
        <v>588983.19999999995</v>
      </c>
      <c r="Z88" s="49">
        <f t="shared" si="120"/>
        <v>10044377.850000001</v>
      </c>
      <c r="AA88" s="117">
        <f t="shared" ref="AA88:AA96" si="121">Z88/$Z$86</f>
        <v>7.4238991828487019E-2</v>
      </c>
      <c r="AB88" s="163"/>
      <c r="AC88" s="83" t="s">
        <v>52</v>
      </c>
      <c r="AD88" s="74">
        <f t="shared" ref="AD88:AP88" si="122">AD15-AD65</f>
        <v>588983.19999999995</v>
      </c>
      <c r="AE88" s="74">
        <f t="shared" si="122"/>
        <v>883474.8</v>
      </c>
      <c r="AF88" s="74">
        <f t="shared" si="122"/>
        <v>1472458</v>
      </c>
      <c r="AG88" s="74">
        <f t="shared" si="122"/>
        <v>1914195.4</v>
      </c>
      <c r="AH88" s="74">
        <f t="shared" si="122"/>
        <v>2392177.92</v>
      </c>
      <c r="AI88" s="74">
        <f t="shared" si="122"/>
        <v>2982739.32</v>
      </c>
      <c r="AJ88" s="74">
        <f t="shared" si="122"/>
        <v>3453698.16</v>
      </c>
      <c r="AK88" s="74">
        <f t="shared" si="122"/>
        <v>3924657</v>
      </c>
      <c r="AL88" s="74">
        <f t="shared" si="122"/>
        <v>3665391.7800000003</v>
      </c>
      <c r="AM88" s="74">
        <f t="shared" si="122"/>
        <v>3187297.2</v>
      </c>
      <c r="AN88" s="74">
        <f t="shared" si="122"/>
        <v>2709202.62</v>
      </c>
      <c r="AO88" s="74">
        <f t="shared" si="122"/>
        <v>2868567.48</v>
      </c>
      <c r="AP88" s="74">
        <f t="shared" si="122"/>
        <v>30042842.879999995</v>
      </c>
      <c r="AQ88" s="121">
        <f t="shared" ref="AQ88:AQ96" si="123">AO88/$AO$86</f>
        <v>5.4567916837273474E-2</v>
      </c>
    </row>
    <row r="89" spans="1:43" ht="30" customHeight="1">
      <c r="A89" s="40" t="s">
        <v>58</v>
      </c>
      <c r="B89" s="25">
        <f t="shared" ref="B89:J89" si="124">B18-B67</f>
        <v>0</v>
      </c>
      <c r="C89" s="25">
        <f t="shared" si="124"/>
        <v>0</v>
      </c>
      <c r="D89" s="25">
        <f t="shared" si="124"/>
        <v>0</v>
      </c>
      <c r="E89" s="25">
        <f t="shared" si="124"/>
        <v>0</v>
      </c>
      <c r="F89" s="25">
        <f t="shared" si="124"/>
        <v>0</v>
      </c>
      <c r="G89" s="25">
        <f t="shared" si="124"/>
        <v>0</v>
      </c>
      <c r="H89" s="25">
        <f t="shared" si="124"/>
        <v>0</v>
      </c>
      <c r="I89" s="25">
        <f t="shared" si="124"/>
        <v>0</v>
      </c>
      <c r="J89" s="25">
        <f t="shared" si="124"/>
        <v>0</v>
      </c>
      <c r="K89" s="124">
        <f t="shared" si="119"/>
        <v>0</v>
      </c>
      <c r="L89" s="141"/>
      <c r="M89" s="65" t="s">
        <v>58</v>
      </c>
      <c r="N89" s="49">
        <f t="shared" ref="N89:Z89" si="125">N18-N67</f>
        <v>0</v>
      </c>
      <c r="O89" s="49">
        <f t="shared" si="125"/>
        <v>0</v>
      </c>
      <c r="P89" s="49">
        <f t="shared" si="125"/>
        <v>494172.89999999991</v>
      </c>
      <c r="Q89" s="49">
        <f t="shared" si="125"/>
        <v>1482518.7</v>
      </c>
      <c r="R89" s="49">
        <f t="shared" si="125"/>
        <v>2372029.9199999995</v>
      </c>
      <c r="S89" s="49">
        <f t="shared" si="125"/>
        <v>2372029.9199999995</v>
      </c>
      <c r="T89" s="49">
        <f t="shared" si="125"/>
        <v>3261541.1399999997</v>
      </c>
      <c r="U89" s="49">
        <f t="shared" si="125"/>
        <v>3261541.1399999997</v>
      </c>
      <c r="V89" s="49">
        <f t="shared" si="125"/>
        <v>4305234.3048</v>
      </c>
      <c r="W89" s="49">
        <f t="shared" si="125"/>
        <v>4305234.3048</v>
      </c>
      <c r="X89" s="49">
        <f t="shared" si="125"/>
        <v>5525050.6911600009</v>
      </c>
      <c r="Y89" s="49">
        <f t="shared" si="125"/>
        <v>5525050.6911600009</v>
      </c>
      <c r="Z89" s="49">
        <f t="shared" si="125"/>
        <v>32904403.711920001</v>
      </c>
      <c r="AA89" s="118">
        <f t="shared" si="121"/>
        <v>0.24319970781370662</v>
      </c>
      <c r="AB89" s="163"/>
      <c r="AC89" s="83" t="s">
        <v>58</v>
      </c>
      <c r="AD89" s="74">
        <f t="shared" ref="AD89:AP89" si="126">AD18-AD67</f>
        <v>5525049.5999999996</v>
      </c>
      <c r="AE89" s="74">
        <f t="shared" si="126"/>
        <v>6314342.3999999994</v>
      </c>
      <c r="AF89" s="74">
        <f t="shared" si="126"/>
        <v>6314342.3999999994</v>
      </c>
      <c r="AG89" s="74">
        <f t="shared" si="126"/>
        <v>7103635.1999999993</v>
      </c>
      <c r="AH89" s="74">
        <f t="shared" si="126"/>
        <v>7103635.1999999993</v>
      </c>
      <c r="AI89" s="74">
        <f t="shared" si="126"/>
        <v>8287573.5</v>
      </c>
      <c r="AJ89" s="74">
        <f t="shared" si="126"/>
        <v>8287573.5</v>
      </c>
      <c r="AK89" s="74">
        <f t="shared" si="126"/>
        <v>9116330.8499999996</v>
      </c>
      <c r="AL89" s="74">
        <f t="shared" si="126"/>
        <v>9116330.8499999996</v>
      </c>
      <c r="AM89" s="74">
        <f t="shared" si="126"/>
        <v>9945088.1999999993</v>
      </c>
      <c r="AN89" s="74">
        <f t="shared" si="126"/>
        <v>9945088.1999999993</v>
      </c>
      <c r="AO89" s="74">
        <f t="shared" si="126"/>
        <v>10773845.549999999</v>
      </c>
      <c r="AP89" s="74">
        <f t="shared" si="126"/>
        <v>97832835.449999988</v>
      </c>
      <c r="AQ89" s="119">
        <f t="shared" si="123"/>
        <v>0.20494770023329861</v>
      </c>
    </row>
    <row r="90" spans="1:43" s="107" customFormat="1" ht="30" customHeight="1">
      <c r="A90" s="108" t="s">
        <v>59</v>
      </c>
      <c r="B90" s="25">
        <f>B25-B69</f>
        <v>0</v>
      </c>
      <c r="C90" s="25">
        <f t="shared" ref="C90:J90" si="127">C25-C69</f>
        <v>0</v>
      </c>
      <c r="D90" s="25">
        <f t="shared" si="127"/>
        <v>0</v>
      </c>
      <c r="E90" s="25">
        <f t="shared" si="127"/>
        <v>0</v>
      </c>
      <c r="F90" s="25">
        <f t="shared" si="127"/>
        <v>0</v>
      </c>
      <c r="G90" s="25">
        <f t="shared" si="127"/>
        <v>0</v>
      </c>
      <c r="H90" s="25">
        <f t="shared" si="127"/>
        <v>0</v>
      </c>
      <c r="I90" s="25">
        <f t="shared" si="127"/>
        <v>0</v>
      </c>
      <c r="J90" s="25">
        <f t="shared" si="127"/>
        <v>0</v>
      </c>
      <c r="K90" s="124">
        <f t="shared" si="119"/>
        <v>0</v>
      </c>
      <c r="L90" s="141"/>
      <c r="M90" s="65" t="s">
        <v>59</v>
      </c>
      <c r="N90" s="49">
        <v>0</v>
      </c>
      <c r="O90" s="49">
        <f>O25-O69</f>
        <v>613344.60000000009</v>
      </c>
      <c r="P90" s="49">
        <f t="shared" ref="P90:Z90" si="128">P25-P69</f>
        <v>654234.24000000022</v>
      </c>
      <c r="Q90" s="49">
        <f t="shared" si="128"/>
        <v>1226689.2000000002</v>
      </c>
      <c r="R90" s="49">
        <f t="shared" si="128"/>
        <v>1619229.7439999999</v>
      </c>
      <c r="S90" s="49">
        <f t="shared" si="128"/>
        <v>2576047.3199999994</v>
      </c>
      <c r="T90" s="49">
        <f t="shared" si="128"/>
        <v>3305927.3939999994</v>
      </c>
      <c r="U90" s="49">
        <f t="shared" si="128"/>
        <v>4156023.0096000005</v>
      </c>
      <c r="V90" s="49">
        <f t="shared" si="128"/>
        <v>4909302.1800900009</v>
      </c>
      <c r="W90" s="49">
        <f t="shared" si="128"/>
        <v>4207973.2972200029</v>
      </c>
      <c r="X90" s="49">
        <f t="shared" si="128"/>
        <v>4675525.8858000021</v>
      </c>
      <c r="Y90" s="49">
        <f t="shared" si="128"/>
        <v>4675525.8858000021</v>
      </c>
      <c r="Z90" s="49">
        <f t="shared" si="128"/>
        <v>32619822.75650999</v>
      </c>
      <c r="AA90" s="118">
        <f t="shared" si="121"/>
        <v>0.24109634177762837</v>
      </c>
      <c r="AB90" s="163"/>
      <c r="AC90" s="109" t="s">
        <v>59</v>
      </c>
      <c r="AD90" s="74">
        <f>AD25-AD69</f>
        <v>7013286.0000000019</v>
      </c>
      <c r="AE90" s="74">
        <f t="shared" ref="AE90:AP90" si="129">AE25-AE69</f>
        <v>7948390.8000000007</v>
      </c>
      <c r="AF90" s="74">
        <f t="shared" si="129"/>
        <v>8883495.6000000015</v>
      </c>
      <c r="AG90" s="74">
        <f t="shared" si="129"/>
        <v>11455033.800000001</v>
      </c>
      <c r="AH90" s="74">
        <f t="shared" si="129"/>
        <v>12545989.399999999</v>
      </c>
      <c r="AI90" s="74">
        <f t="shared" si="129"/>
        <v>14318788.75</v>
      </c>
      <c r="AJ90" s="74">
        <f t="shared" si="129"/>
        <v>15464291.849999998</v>
      </c>
      <c r="AK90" s="74">
        <f t="shared" si="129"/>
        <v>16609794.949999999</v>
      </c>
      <c r="AL90" s="74">
        <f t="shared" si="129"/>
        <v>15218826.900000006</v>
      </c>
      <c r="AM90" s="74">
        <f t="shared" si="129"/>
        <v>16200686.700000003</v>
      </c>
      <c r="AN90" s="74">
        <f t="shared" si="129"/>
        <v>17182546.5</v>
      </c>
      <c r="AO90" s="74">
        <f t="shared" si="129"/>
        <v>17673476.400000006</v>
      </c>
      <c r="AP90" s="74">
        <f t="shared" si="129"/>
        <v>160514607.64999998</v>
      </c>
      <c r="AQ90" s="119">
        <f t="shared" si="123"/>
        <v>0.33619735186453265</v>
      </c>
    </row>
    <row r="91" spans="1:43" ht="30" customHeight="1">
      <c r="A91" s="40" t="s">
        <v>60</v>
      </c>
      <c r="B91" s="25">
        <f t="shared" ref="B91:J91" si="130">B21-B71</f>
        <v>0</v>
      </c>
      <c r="C91" s="25">
        <f t="shared" si="130"/>
        <v>0</v>
      </c>
      <c r="D91" s="25">
        <f t="shared" si="130"/>
        <v>0</v>
      </c>
      <c r="E91" s="25">
        <f t="shared" si="130"/>
        <v>0</v>
      </c>
      <c r="F91" s="25">
        <f t="shared" si="130"/>
        <v>0</v>
      </c>
      <c r="G91" s="25">
        <f t="shared" si="130"/>
        <v>0</v>
      </c>
      <c r="H91" s="25">
        <f t="shared" si="130"/>
        <v>0</v>
      </c>
      <c r="I91" s="25">
        <f t="shared" si="130"/>
        <v>0</v>
      </c>
      <c r="J91" s="25">
        <f t="shared" si="130"/>
        <v>0</v>
      </c>
      <c r="K91" s="124">
        <f t="shared" si="119"/>
        <v>0</v>
      </c>
      <c r="L91" s="141"/>
      <c r="M91" s="65" t="s">
        <v>60</v>
      </c>
      <c r="N91" s="49">
        <f t="shared" ref="N91:Z91" si="131">N21-N71</f>
        <v>0</v>
      </c>
      <c r="O91" s="49">
        <f t="shared" si="131"/>
        <v>0</v>
      </c>
      <c r="P91" s="49">
        <f t="shared" si="131"/>
        <v>0</v>
      </c>
      <c r="Q91" s="49">
        <f t="shared" si="131"/>
        <v>0</v>
      </c>
      <c r="R91" s="49">
        <f t="shared" si="131"/>
        <v>0</v>
      </c>
      <c r="S91" s="49">
        <f t="shared" si="131"/>
        <v>400000</v>
      </c>
      <c r="T91" s="49">
        <f t="shared" si="131"/>
        <v>400000</v>
      </c>
      <c r="U91" s="49">
        <f t="shared" si="131"/>
        <v>800000</v>
      </c>
      <c r="V91" s="49">
        <f t="shared" si="131"/>
        <v>800000</v>
      </c>
      <c r="W91" s="49">
        <f t="shared" si="131"/>
        <v>800000</v>
      </c>
      <c r="X91" s="49">
        <f t="shared" si="131"/>
        <v>800000</v>
      </c>
      <c r="Y91" s="49">
        <f t="shared" si="131"/>
        <v>800000</v>
      </c>
      <c r="Z91" s="49">
        <f t="shared" si="131"/>
        <v>4800000</v>
      </c>
      <c r="AA91" s="117">
        <f t="shared" si="121"/>
        <v>3.5477275556368849E-2</v>
      </c>
      <c r="AB91" s="163"/>
      <c r="AC91" s="83" t="s">
        <v>60</v>
      </c>
      <c r="AD91" s="74">
        <f>AD21-AD71</f>
        <v>1200000</v>
      </c>
      <c r="AE91" s="74">
        <f t="shared" ref="AE91:AP91" si="132">AE21-AE71</f>
        <v>1600000</v>
      </c>
      <c r="AF91" s="74">
        <f t="shared" si="132"/>
        <v>1600000</v>
      </c>
      <c r="AG91" s="74">
        <f t="shared" si="132"/>
        <v>1600000</v>
      </c>
      <c r="AH91" s="74">
        <f t="shared" si="132"/>
        <v>1600000</v>
      </c>
      <c r="AI91" s="74">
        <f t="shared" si="132"/>
        <v>2000000</v>
      </c>
      <c r="AJ91" s="74">
        <f t="shared" si="132"/>
        <v>2000000</v>
      </c>
      <c r="AK91" s="74">
        <f t="shared" si="132"/>
        <v>2000000</v>
      </c>
      <c r="AL91" s="74">
        <f t="shared" si="132"/>
        <v>2000000</v>
      </c>
      <c r="AM91" s="74">
        <f t="shared" si="132"/>
        <v>2400000</v>
      </c>
      <c r="AN91" s="74">
        <f t="shared" si="132"/>
        <v>2400000</v>
      </c>
      <c r="AO91" s="74">
        <f t="shared" si="132"/>
        <v>2400000</v>
      </c>
      <c r="AP91" s="74">
        <f t="shared" si="132"/>
        <v>22800000</v>
      </c>
      <c r="AQ91" s="121">
        <f t="shared" si="123"/>
        <v>4.5654495256794984E-2</v>
      </c>
    </row>
    <row r="92" spans="1:43" ht="30" customHeight="1">
      <c r="A92" s="40" t="s">
        <v>51</v>
      </c>
      <c r="B92" s="25">
        <f t="shared" ref="B92:J92" si="133">B29-B73</f>
        <v>60207.600000000006</v>
      </c>
      <c r="C92" s="25">
        <f t="shared" si="133"/>
        <v>102629.1</v>
      </c>
      <c r="D92" s="25">
        <f t="shared" si="133"/>
        <v>60862.200000000012</v>
      </c>
      <c r="E92" s="25">
        <f t="shared" si="133"/>
        <v>53735.700000000012</v>
      </c>
      <c r="F92" s="25">
        <f t="shared" si="133"/>
        <v>36298.200000000012</v>
      </c>
      <c r="G92" s="25">
        <f t="shared" si="133"/>
        <v>76588</v>
      </c>
      <c r="H92" s="25">
        <f t="shared" si="133"/>
        <v>24380.100000000006</v>
      </c>
      <c r="I92" s="25">
        <f t="shared" si="133"/>
        <v>69515.100000000006</v>
      </c>
      <c r="J92" s="25">
        <f t="shared" si="133"/>
        <v>484216</v>
      </c>
      <c r="K92" s="124">
        <f t="shared" si="119"/>
        <v>5.4376391717870121E-2</v>
      </c>
      <c r="L92" s="141"/>
      <c r="M92" s="65" t="s">
        <v>51</v>
      </c>
      <c r="N92" s="49">
        <f t="shared" ref="N92:Z92" si="134">N29-N73</f>
        <v>50274.000000000015</v>
      </c>
      <c r="O92" s="49">
        <f t="shared" si="134"/>
        <v>50274.000000000015</v>
      </c>
      <c r="P92" s="49">
        <f t="shared" si="134"/>
        <v>92169</v>
      </c>
      <c r="Q92" s="49">
        <f t="shared" si="134"/>
        <v>134902.80000000005</v>
      </c>
      <c r="R92" s="49">
        <f t="shared" si="134"/>
        <v>292289.40000000002</v>
      </c>
      <c r="S92" s="49">
        <f t="shared" si="134"/>
        <v>554632.80000000005</v>
      </c>
      <c r="T92" s="49">
        <f t="shared" si="134"/>
        <v>966857.40000000037</v>
      </c>
      <c r="U92" s="49">
        <f t="shared" si="134"/>
        <v>1259168.4000000004</v>
      </c>
      <c r="V92" s="49">
        <f t="shared" si="134"/>
        <v>1172969.7000000002</v>
      </c>
      <c r="W92" s="49">
        <f t="shared" si="134"/>
        <v>940615.5</v>
      </c>
      <c r="X92" s="49">
        <f t="shared" si="134"/>
        <v>1098308</v>
      </c>
      <c r="Y92" s="49">
        <f t="shared" si="134"/>
        <v>2567120</v>
      </c>
      <c r="Z92" s="49">
        <f t="shared" si="134"/>
        <v>9179581</v>
      </c>
      <c r="AA92" s="117">
        <f t="shared" si="121"/>
        <v>6.7847192631043315E-2</v>
      </c>
      <c r="AB92" s="163"/>
      <c r="AC92" s="83" t="s">
        <v>51</v>
      </c>
      <c r="AD92" s="74">
        <f>AD29-AD73</f>
        <v>-1106170</v>
      </c>
      <c r="AE92" s="74">
        <f t="shared" ref="AE92:AP92" si="135">AE29-AE73</f>
        <v>-826350</v>
      </c>
      <c r="AF92" s="74">
        <f t="shared" si="135"/>
        <v>-572980</v>
      </c>
      <c r="AG92" s="74">
        <f t="shared" si="135"/>
        <v>122800</v>
      </c>
      <c r="AH92" s="74">
        <f t="shared" si="135"/>
        <v>992240</v>
      </c>
      <c r="AI92" s="74">
        <f t="shared" si="135"/>
        <v>1926560</v>
      </c>
      <c r="AJ92" s="74">
        <f t="shared" si="135"/>
        <v>3382464</v>
      </c>
      <c r="AK92" s="74">
        <f t="shared" si="135"/>
        <v>4776153</v>
      </c>
      <c r="AL92" s="74">
        <f t="shared" si="135"/>
        <v>5137817</v>
      </c>
      <c r="AM92" s="74">
        <f t="shared" si="135"/>
        <v>4582872</v>
      </c>
      <c r="AN92" s="74">
        <f t="shared" si="135"/>
        <v>6379528</v>
      </c>
      <c r="AO92" s="74">
        <f t="shared" si="135"/>
        <v>8623421</v>
      </c>
      <c r="AP92" s="74">
        <f t="shared" si="135"/>
        <v>33418355</v>
      </c>
      <c r="AQ92" s="120">
        <f t="shared" si="123"/>
        <v>0.16404080547576927</v>
      </c>
    </row>
    <row r="93" spans="1:43" ht="30" customHeight="1">
      <c r="A93" s="40" t="s">
        <v>44</v>
      </c>
      <c r="B93" s="25">
        <f t="shared" ref="B93:J93" si="136">B40-B75</f>
        <v>66632.330000000016</v>
      </c>
      <c r="C93" s="25">
        <f t="shared" si="136"/>
        <v>167597.14999999997</v>
      </c>
      <c r="D93" s="25">
        <f t="shared" si="136"/>
        <v>147990.5</v>
      </c>
      <c r="E93" s="25">
        <f t="shared" si="136"/>
        <v>174074.39999999997</v>
      </c>
      <c r="F93" s="25">
        <f t="shared" si="136"/>
        <v>196229.5</v>
      </c>
      <c r="G93" s="25">
        <f t="shared" si="136"/>
        <v>161453.20000000001</v>
      </c>
      <c r="H93" s="25">
        <f t="shared" si="136"/>
        <v>68029.119999999995</v>
      </c>
      <c r="I93" s="25">
        <f t="shared" si="136"/>
        <v>140762.31</v>
      </c>
      <c r="J93" s="25">
        <f t="shared" si="136"/>
        <v>1122768.5099999998</v>
      </c>
      <c r="K93" s="124">
        <f t="shared" si="119"/>
        <v>0.12608443402995639</v>
      </c>
      <c r="L93" s="141"/>
      <c r="M93" s="65" t="s">
        <v>44</v>
      </c>
      <c r="N93" s="49">
        <f t="shared" ref="N93:Z93" si="137">N40-N75</f>
        <v>33816</v>
      </c>
      <c r="O93" s="49">
        <f t="shared" si="137"/>
        <v>46000</v>
      </c>
      <c r="P93" s="49">
        <f t="shared" si="137"/>
        <v>165600</v>
      </c>
      <c r="Q93" s="49">
        <f t="shared" si="137"/>
        <v>413000</v>
      </c>
      <c r="R93" s="49">
        <f t="shared" si="137"/>
        <v>589000</v>
      </c>
      <c r="S93" s="49">
        <f t="shared" si="137"/>
        <v>815000</v>
      </c>
      <c r="T93" s="49">
        <f t="shared" si="137"/>
        <v>1064000</v>
      </c>
      <c r="U93" s="49">
        <f t="shared" si="137"/>
        <v>1323000</v>
      </c>
      <c r="V93" s="49">
        <f t="shared" si="137"/>
        <v>1087000</v>
      </c>
      <c r="W93" s="49">
        <f t="shared" si="137"/>
        <v>979000</v>
      </c>
      <c r="X93" s="49">
        <f t="shared" si="137"/>
        <v>395000</v>
      </c>
      <c r="Y93" s="49">
        <f t="shared" si="137"/>
        <v>995000</v>
      </c>
      <c r="Z93" s="49">
        <f t="shared" si="137"/>
        <v>7905416</v>
      </c>
      <c r="AA93" s="117">
        <f t="shared" si="121"/>
        <v>5.8429712879109828E-2</v>
      </c>
      <c r="AB93" s="163"/>
      <c r="AC93" s="83" t="s">
        <v>44</v>
      </c>
      <c r="AD93" s="74">
        <f>AD40-AD75</f>
        <v>493350</v>
      </c>
      <c r="AE93" s="74">
        <f t="shared" ref="AE93:AP93" si="138">AE40-AE75</f>
        <v>668610</v>
      </c>
      <c r="AF93" s="74">
        <f t="shared" si="138"/>
        <v>814200</v>
      </c>
      <c r="AG93" s="74">
        <f t="shared" si="138"/>
        <v>1206000</v>
      </c>
      <c r="AH93" s="74">
        <f t="shared" si="138"/>
        <v>1411000</v>
      </c>
      <c r="AI93" s="74">
        <f t="shared" si="138"/>
        <v>1598000</v>
      </c>
      <c r="AJ93" s="74">
        <f t="shared" si="138"/>
        <v>1811250</v>
      </c>
      <c r="AK93" s="74">
        <f t="shared" si="138"/>
        <v>1977500</v>
      </c>
      <c r="AL93" s="74">
        <f t="shared" si="138"/>
        <v>1513000</v>
      </c>
      <c r="AM93" s="74">
        <f t="shared" si="138"/>
        <v>1241000</v>
      </c>
      <c r="AN93" s="74">
        <f t="shared" si="138"/>
        <v>1360000</v>
      </c>
      <c r="AO93" s="74">
        <f t="shared" si="138"/>
        <v>2100000</v>
      </c>
      <c r="AP93" s="74">
        <f t="shared" si="138"/>
        <v>16193910</v>
      </c>
      <c r="AQ93" s="121">
        <f t="shared" si="123"/>
        <v>3.994768334969561E-2</v>
      </c>
    </row>
    <row r="94" spans="1:43" ht="30" customHeight="1">
      <c r="A94" s="40" t="s">
        <v>46</v>
      </c>
      <c r="B94" s="25">
        <f t="shared" ref="B94:J94" si="139">B43-B77</f>
        <v>0</v>
      </c>
      <c r="C94" s="25">
        <f t="shared" si="139"/>
        <v>14900</v>
      </c>
      <c r="D94" s="25">
        <f t="shared" si="139"/>
        <v>20000</v>
      </c>
      <c r="E94" s="25">
        <f t="shared" si="139"/>
        <v>0</v>
      </c>
      <c r="F94" s="25">
        <f t="shared" si="139"/>
        <v>0</v>
      </c>
      <c r="G94" s="25">
        <f t="shared" si="139"/>
        <v>10800</v>
      </c>
      <c r="H94" s="25">
        <f t="shared" si="139"/>
        <v>0</v>
      </c>
      <c r="I94" s="25">
        <f t="shared" si="139"/>
        <v>0</v>
      </c>
      <c r="J94" s="25">
        <f t="shared" si="139"/>
        <v>45700</v>
      </c>
      <c r="K94" s="124">
        <f t="shared" si="119"/>
        <v>5.1320094782218361E-3</v>
      </c>
      <c r="L94" s="141"/>
      <c r="M94" s="65" t="s">
        <v>46</v>
      </c>
      <c r="N94" s="49">
        <f t="shared" ref="N94:Z94" si="140">N43-N77</f>
        <v>0</v>
      </c>
      <c r="O94" s="49">
        <f t="shared" si="140"/>
        <v>16400</v>
      </c>
      <c r="P94" s="49">
        <f t="shared" si="140"/>
        <v>49200</v>
      </c>
      <c r="Q94" s="49">
        <f t="shared" si="140"/>
        <v>96000</v>
      </c>
      <c r="R94" s="49">
        <f t="shared" si="140"/>
        <v>120000</v>
      </c>
      <c r="S94" s="49">
        <f t="shared" si="140"/>
        <v>206166.00790513834</v>
      </c>
      <c r="T94" s="49">
        <f t="shared" si="140"/>
        <v>326547.31457800511</v>
      </c>
      <c r="U94" s="49">
        <f t="shared" si="140"/>
        <v>369275.36231884058</v>
      </c>
      <c r="V94" s="49">
        <f t="shared" si="140"/>
        <v>301373.66099558916</v>
      </c>
      <c r="W94" s="49">
        <f t="shared" si="140"/>
        <v>216204.27881297446</v>
      </c>
      <c r="X94" s="49">
        <f t="shared" si="140"/>
        <v>215900.62111801244</v>
      </c>
      <c r="Y94" s="49">
        <f t="shared" si="140"/>
        <v>292842.80936454854</v>
      </c>
      <c r="Z94" s="49">
        <f t="shared" si="140"/>
        <v>2209910.0550931087</v>
      </c>
      <c r="AA94" s="117">
        <f t="shared" si="121"/>
        <v>1.6333664162360099E-2</v>
      </c>
      <c r="AB94" s="163"/>
      <c r="AC94" s="83" t="s">
        <v>46</v>
      </c>
      <c r="AD94" s="74">
        <f>AD43-AD77</f>
        <v>66000</v>
      </c>
      <c r="AE94" s="74">
        <f t="shared" ref="AE94:AP94" si="141">AE43-AE77</f>
        <v>91200</v>
      </c>
      <c r="AF94" s="74">
        <f t="shared" si="141"/>
        <v>118000</v>
      </c>
      <c r="AG94" s="74">
        <f t="shared" si="141"/>
        <v>201670</v>
      </c>
      <c r="AH94" s="74">
        <f t="shared" si="141"/>
        <v>292400</v>
      </c>
      <c r="AI94" s="74">
        <f t="shared" si="141"/>
        <v>388076</v>
      </c>
      <c r="AJ94" s="74">
        <f t="shared" si="141"/>
        <v>463680</v>
      </c>
      <c r="AK94" s="74">
        <f t="shared" si="141"/>
        <v>543830</v>
      </c>
      <c r="AL94" s="74">
        <f t="shared" si="141"/>
        <v>570384</v>
      </c>
      <c r="AM94" s="74">
        <f t="shared" si="141"/>
        <v>484500</v>
      </c>
      <c r="AN94" s="74">
        <f t="shared" si="141"/>
        <v>427856</v>
      </c>
      <c r="AO94" s="74">
        <f t="shared" si="141"/>
        <v>414120</v>
      </c>
      <c r="AP94" s="74">
        <f t="shared" si="141"/>
        <v>4061716</v>
      </c>
      <c r="AQ94" s="121">
        <f t="shared" si="123"/>
        <v>7.8776831565599732E-3</v>
      </c>
    </row>
    <row r="95" spans="1:43" ht="30" customHeight="1">
      <c r="A95" s="40" t="s">
        <v>50</v>
      </c>
      <c r="B95" s="25">
        <f t="shared" ref="B95:J95" si="142">B50-B79</f>
        <v>36895.649999999994</v>
      </c>
      <c r="C95" s="25">
        <f t="shared" si="142"/>
        <v>71715</v>
      </c>
      <c r="D95" s="25">
        <f t="shared" si="142"/>
        <v>61420</v>
      </c>
      <c r="E95" s="25">
        <f t="shared" si="142"/>
        <v>30735.9</v>
      </c>
      <c r="F95" s="25">
        <f t="shared" si="142"/>
        <v>74814</v>
      </c>
      <c r="G95" s="25">
        <f t="shared" si="142"/>
        <v>17249.400000000001</v>
      </c>
      <c r="H95" s="25">
        <f t="shared" si="142"/>
        <v>37814</v>
      </c>
      <c r="I95" s="25">
        <f t="shared" si="142"/>
        <v>31968</v>
      </c>
      <c r="J95" s="25">
        <f t="shared" si="142"/>
        <v>362611.95000000007</v>
      </c>
      <c r="K95" s="124">
        <f t="shared" si="119"/>
        <v>4.072052438329328E-2</v>
      </c>
      <c r="L95" s="141"/>
      <c r="M95" s="65" t="s">
        <v>50</v>
      </c>
      <c r="N95" s="49">
        <f t="shared" ref="N95:Z95" si="143">N50-N79</f>
        <v>0</v>
      </c>
      <c r="O95" s="49">
        <f t="shared" si="143"/>
        <v>0</v>
      </c>
      <c r="P95" s="49">
        <f t="shared" si="143"/>
        <v>31941.46</v>
      </c>
      <c r="Q95" s="49">
        <f t="shared" si="143"/>
        <v>81801.3</v>
      </c>
      <c r="R95" s="49">
        <f t="shared" si="143"/>
        <v>163602.6</v>
      </c>
      <c r="S95" s="49">
        <f t="shared" si="143"/>
        <v>301496.22000000003</v>
      </c>
      <c r="T95" s="49">
        <f t="shared" si="143"/>
        <v>435494.54000000004</v>
      </c>
      <c r="U95" s="49">
        <f t="shared" si="143"/>
        <v>634154.84</v>
      </c>
      <c r="V95" s="49">
        <f t="shared" si="143"/>
        <v>719851.44</v>
      </c>
      <c r="W95" s="49">
        <f t="shared" si="143"/>
        <v>175288.49999999997</v>
      </c>
      <c r="X95" s="49">
        <f t="shared" si="143"/>
        <v>358367.6</v>
      </c>
      <c r="Y95" s="49">
        <f t="shared" si="143"/>
        <v>71673.51999999999</v>
      </c>
      <c r="Z95" s="49">
        <f t="shared" si="143"/>
        <v>2973672.02</v>
      </c>
      <c r="AA95" s="117">
        <f t="shared" si="121"/>
        <v>2.1978704514125827E-2</v>
      </c>
      <c r="AB95" s="163"/>
      <c r="AC95" s="83" t="s">
        <v>50</v>
      </c>
      <c r="AD95" s="74">
        <f>AD50-AD79</f>
        <v>0</v>
      </c>
      <c r="AE95" s="74">
        <f t="shared" ref="AE95:AP95" si="144">AE50-AE79</f>
        <v>0</v>
      </c>
      <c r="AF95" s="74">
        <f t="shared" si="144"/>
        <v>53755.14</v>
      </c>
      <c r="AG95" s="74">
        <f t="shared" si="144"/>
        <v>109847.45999999999</v>
      </c>
      <c r="AH95" s="74">
        <f t="shared" si="144"/>
        <v>261801.27999999997</v>
      </c>
      <c r="AI95" s="74">
        <f t="shared" si="144"/>
        <v>563879.67999999993</v>
      </c>
      <c r="AJ95" s="74">
        <f t="shared" si="144"/>
        <v>863815.67999999993</v>
      </c>
      <c r="AK95" s="74">
        <f t="shared" si="144"/>
        <v>1213455.3599999999</v>
      </c>
      <c r="AL95" s="74">
        <f t="shared" si="144"/>
        <v>1480826.8799999999</v>
      </c>
      <c r="AM95" s="74">
        <f t="shared" si="144"/>
        <v>482896.95999999996</v>
      </c>
      <c r="AN95" s="74">
        <f t="shared" si="144"/>
        <v>146968.63999999998</v>
      </c>
      <c r="AO95" s="74">
        <f t="shared" si="144"/>
        <v>104977.59999999999</v>
      </c>
      <c r="AP95" s="74">
        <f t="shared" si="144"/>
        <v>5282224.6799999988</v>
      </c>
      <c r="AQ95" s="121">
        <f t="shared" si="123"/>
        <v>1.9969580588623833E-3</v>
      </c>
    </row>
    <row r="96" spans="1:43" ht="30" customHeight="1">
      <c r="A96" s="40" t="s">
        <v>49</v>
      </c>
      <c r="B96" s="25">
        <f t="shared" ref="B96:J96" si="145">B53-B81</f>
        <v>0</v>
      </c>
      <c r="C96" s="25">
        <f t="shared" si="145"/>
        <v>0</v>
      </c>
      <c r="D96" s="25">
        <f t="shared" si="145"/>
        <v>35639.999999999993</v>
      </c>
      <c r="E96" s="25">
        <f t="shared" si="145"/>
        <v>0</v>
      </c>
      <c r="F96" s="25">
        <f t="shared" si="145"/>
        <v>63000</v>
      </c>
      <c r="G96" s="25">
        <f t="shared" si="145"/>
        <v>0</v>
      </c>
      <c r="H96" s="25">
        <f t="shared" si="145"/>
        <v>22000</v>
      </c>
      <c r="I96" s="25">
        <f t="shared" si="145"/>
        <v>0</v>
      </c>
      <c r="J96" s="25">
        <f t="shared" si="145"/>
        <v>120640</v>
      </c>
      <c r="K96" s="124">
        <f t="shared" si="119"/>
        <v>1.3547606640102457E-2</v>
      </c>
      <c r="L96" s="141"/>
      <c r="M96" s="65" t="s">
        <v>49</v>
      </c>
      <c r="N96" s="49">
        <f t="shared" ref="N96:Z96" si="146">N53-N81</f>
        <v>0</v>
      </c>
      <c r="O96" s="49">
        <f t="shared" si="146"/>
        <v>0</v>
      </c>
      <c r="P96" s="49">
        <f t="shared" si="146"/>
        <v>0</v>
      </c>
      <c r="Q96" s="49">
        <f t="shared" si="146"/>
        <v>24749.999999999996</v>
      </c>
      <c r="R96" s="49">
        <f t="shared" si="146"/>
        <v>55199.999999999993</v>
      </c>
      <c r="S96" s="49">
        <f t="shared" si="146"/>
        <v>119600</v>
      </c>
      <c r="T96" s="49">
        <f t="shared" si="146"/>
        <v>197400</v>
      </c>
      <c r="U96" s="49">
        <f t="shared" si="146"/>
        <v>300800</v>
      </c>
      <c r="V96" s="49">
        <f t="shared" si="146"/>
        <v>230300</v>
      </c>
      <c r="W96" s="49">
        <f t="shared" si="146"/>
        <v>131600</v>
      </c>
      <c r="X96" s="49">
        <f t="shared" si="146"/>
        <v>84600</v>
      </c>
      <c r="Y96" s="49">
        <f t="shared" si="146"/>
        <v>0</v>
      </c>
      <c r="Z96" s="49">
        <f t="shared" si="146"/>
        <v>1144250</v>
      </c>
      <c r="AA96" s="117">
        <f t="shared" si="121"/>
        <v>8.4572651157031366E-3</v>
      </c>
      <c r="AB96" s="163"/>
      <c r="AC96" s="83" t="s">
        <v>49</v>
      </c>
      <c r="AD96" s="74">
        <f>AD53-AD81</f>
        <v>0</v>
      </c>
      <c r="AE96" s="74">
        <f t="shared" ref="AE96:AP96" si="147">AE53-AE81</f>
        <v>0</v>
      </c>
      <c r="AF96" s="74">
        <f t="shared" si="147"/>
        <v>98700</v>
      </c>
      <c r="AG96" s="74">
        <f t="shared" si="147"/>
        <v>131600</v>
      </c>
      <c r="AH96" s="74">
        <f t="shared" si="147"/>
        <v>230300</v>
      </c>
      <c r="AI96" s="74">
        <f t="shared" si="147"/>
        <v>374400</v>
      </c>
      <c r="AJ96" s="74">
        <f t="shared" si="147"/>
        <v>499200</v>
      </c>
      <c r="AK96" s="74">
        <f t="shared" si="147"/>
        <v>655200</v>
      </c>
      <c r="AL96" s="74">
        <f t="shared" si="147"/>
        <v>987350</v>
      </c>
      <c r="AM96" s="74">
        <f t="shared" si="147"/>
        <v>686000</v>
      </c>
      <c r="AN96" s="74">
        <f t="shared" si="147"/>
        <v>205800</v>
      </c>
      <c r="AO96" s="74">
        <f t="shared" si="147"/>
        <v>140000</v>
      </c>
      <c r="AP96" s="74">
        <f t="shared" si="147"/>
        <v>4008550</v>
      </c>
      <c r="AQ96" s="121">
        <f t="shared" si="123"/>
        <v>2.6631788899797071E-3</v>
      </c>
    </row>
    <row r="97" spans="1:42" s="4" customFormat="1" ht="30" customHeight="1">
      <c r="A97" s="37" t="s">
        <v>66</v>
      </c>
      <c r="B97" s="131" t="s">
        <v>73</v>
      </c>
      <c r="C97" s="132"/>
      <c r="D97" s="132"/>
      <c r="E97" s="132"/>
      <c r="F97" s="132"/>
      <c r="G97" s="132"/>
      <c r="H97" s="132"/>
      <c r="I97" s="132"/>
      <c r="J97" s="133"/>
      <c r="K97" s="92"/>
      <c r="L97" s="141"/>
      <c r="M97" s="46" t="s">
        <v>66</v>
      </c>
      <c r="N97" s="134" t="s">
        <v>73</v>
      </c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93"/>
      <c r="AB97" s="163"/>
      <c r="AC97" s="72" t="s">
        <v>66</v>
      </c>
      <c r="AD97" s="154" t="s">
        <v>73</v>
      </c>
      <c r="AE97" s="155"/>
      <c r="AF97" s="155"/>
      <c r="AG97" s="155"/>
      <c r="AH97" s="155"/>
      <c r="AI97" s="155"/>
      <c r="AJ97" s="155"/>
      <c r="AK97" s="155"/>
      <c r="AL97" s="155"/>
      <c r="AM97" s="155"/>
      <c r="AN97" s="155"/>
      <c r="AO97" s="155"/>
      <c r="AP97" s="156"/>
    </row>
    <row r="98" spans="1:42" ht="30" customHeight="1">
      <c r="A98" s="24" t="s">
        <v>65</v>
      </c>
      <c r="B98" s="25">
        <v>330000</v>
      </c>
      <c r="C98" s="25">
        <v>430000</v>
      </c>
      <c r="D98" s="25">
        <v>430000</v>
      </c>
      <c r="E98" s="25">
        <v>430000</v>
      </c>
      <c r="F98" s="25">
        <v>430000</v>
      </c>
      <c r="G98" s="25">
        <v>380000</v>
      </c>
      <c r="H98" s="25">
        <v>330000</v>
      </c>
      <c r="I98" s="25">
        <v>330000</v>
      </c>
      <c r="J98" s="25">
        <f>SUM(B98:I98)</f>
        <v>3090000</v>
      </c>
      <c r="K98" s="25"/>
      <c r="L98" s="141"/>
      <c r="M98" s="56" t="s">
        <v>65</v>
      </c>
      <c r="N98" s="49">
        <v>330000</v>
      </c>
      <c r="O98" s="49">
        <v>330000</v>
      </c>
      <c r="P98" s="49">
        <v>330000</v>
      </c>
      <c r="Q98" s="49">
        <v>700000</v>
      </c>
      <c r="R98" s="49">
        <v>700000</v>
      </c>
      <c r="S98" s="49">
        <v>700000</v>
      </c>
      <c r="T98" s="49">
        <v>700000</v>
      </c>
      <c r="U98" s="49">
        <v>800000</v>
      </c>
      <c r="V98" s="49">
        <v>800000</v>
      </c>
      <c r="W98" s="49">
        <v>800000</v>
      </c>
      <c r="X98" s="49">
        <v>800000</v>
      </c>
      <c r="Y98" s="49">
        <v>800000</v>
      </c>
      <c r="Z98" s="49">
        <f>SUM(N98:Y98)</f>
        <v>7790000</v>
      </c>
      <c r="AA98" s="49"/>
      <c r="AB98" s="163"/>
      <c r="AC98" s="75" t="s">
        <v>65</v>
      </c>
      <c r="AD98" s="74">
        <v>1500000</v>
      </c>
      <c r="AE98" s="74">
        <v>1500000</v>
      </c>
      <c r="AF98" s="74">
        <v>1500000</v>
      </c>
      <c r="AG98" s="74">
        <v>1500000</v>
      </c>
      <c r="AH98" s="74">
        <v>1500000</v>
      </c>
      <c r="AI98" s="74">
        <v>1500000</v>
      </c>
      <c r="AJ98" s="74">
        <v>1500000</v>
      </c>
      <c r="AK98" s="74">
        <v>1500000</v>
      </c>
      <c r="AL98" s="74">
        <v>1500000</v>
      </c>
      <c r="AM98" s="74">
        <v>1500000</v>
      </c>
      <c r="AN98" s="74">
        <v>1500000</v>
      </c>
      <c r="AO98" s="74">
        <v>1500000</v>
      </c>
      <c r="AP98" s="74">
        <f>SUM(AD98:AO98)</f>
        <v>18000000</v>
      </c>
    </row>
    <row r="99" spans="1:42" ht="30" customHeight="1">
      <c r="A99" s="24" t="s">
        <v>14</v>
      </c>
      <c r="B99" s="41">
        <v>380000</v>
      </c>
      <c r="C99" s="41">
        <v>450000</v>
      </c>
      <c r="D99" s="41">
        <v>440000</v>
      </c>
      <c r="E99" s="41">
        <v>400000</v>
      </c>
      <c r="F99" s="41">
        <v>390000</v>
      </c>
      <c r="G99" s="41">
        <v>220000</v>
      </c>
      <c r="H99" s="41">
        <v>220000</v>
      </c>
      <c r="I99" s="41">
        <v>310000</v>
      </c>
      <c r="J99" s="25">
        <f t="shared" ref="J99:J113" si="148">SUM(B99:I99)</f>
        <v>2810000</v>
      </c>
      <c r="K99" s="25"/>
      <c r="L99" s="141"/>
      <c r="M99" s="56" t="s">
        <v>14</v>
      </c>
      <c r="N99" s="49">
        <v>310000</v>
      </c>
      <c r="O99" s="49">
        <v>460000</v>
      </c>
      <c r="P99" s="49">
        <v>460000</v>
      </c>
      <c r="Q99" s="49">
        <v>610000</v>
      </c>
      <c r="R99" s="49">
        <v>610000</v>
      </c>
      <c r="S99" s="49">
        <v>760000</v>
      </c>
      <c r="T99" s="49">
        <v>910000</v>
      </c>
      <c r="U99" s="49">
        <v>910000</v>
      </c>
      <c r="V99" s="49">
        <v>1060000</v>
      </c>
      <c r="W99" s="49">
        <v>1060000</v>
      </c>
      <c r="X99" s="49">
        <v>1060000</v>
      </c>
      <c r="Y99" s="49">
        <v>1060000</v>
      </c>
      <c r="Z99" s="49">
        <f>SUM(N99:Y99)</f>
        <v>9270000</v>
      </c>
      <c r="AA99" s="49"/>
      <c r="AB99" s="163"/>
      <c r="AC99" s="75" t="s">
        <v>14</v>
      </c>
      <c r="AD99" s="74">
        <v>1510000</v>
      </c>
      <c r="AE99" s="74">
        <v>1510000</v>
      </c>
      <c r="AF99" s="74">
        <v>1510000</v>
      </c>
      <c r="AG99" s="74">
        <v>1660000</v>
      </c>
      <c r="AH99" s="74">
        <v>1660000</v>
      </c>
      <c r="AI99" s="74">
        <v>1660000</v>
      </c>
      <c r="AJ99" s="74">
        <v>1810000</v>
      </c>
      <c r="AK99" s="74">
        <v>1810000</v>
      </c>
      <c r="AL99" s="74">
        <v>1810000</v>
      </c>
      <c r="AM99" s="74">
        <v>1960000</v>
      </c>
      <c r="AN99" s="74">
        <v>1960000</v>
      </c>
      <c r="AO99" s="74">
        <v>1960000</v>
      </c>
      <c r="AP99" s="74">
        <f t="shared" ref="AP99:AP107" si="149">SUM(AD99:AO99)</f>
        <v>20820000</v>
      </c>
    </row>
    <row r="100" spans="1:42" ht="30" customHeight="1">
      <c r="A100" s="24" t="s">
        <v>15</v>
      </c>
      <c r="B100" s="25">
        <v>50000</v>
      </c>
      <c r="C100" s="25">
        <v>50000</v>
      </c>
      <c r="D100" s="25">
        <v>70000</v>
      </c>
      <c r="E100" s="25">
        <v>70000</v>
      </c>
      <c r="F100" s="25">
        <v>70000</v>
      </c>
      <c r="G100" s="25">
        <v>50000</v>
      </c>
      <c r="H100" s="25">
        <v>50000</v>
      </c>
      <c r="I100" s="25">
        <v>50000</v>
      </c>
      <c r="J100" s="25">
        <f t="shared" si="148"/>
        <v>460000</v>
      </c>
      <c r="K100" s="25"/>
      <c r="L100" s="141"/>
      <c r="M100" s="56" t="s">
        <v>15</v>
      </c>
      <c r="N100" s="49">
        <v>50000</v>
      </c>
      <c r="O100" s="49">
        <v>50000</v>
      </c>
      <c r="P100" s="49">
        <v>170000</v>
      </c>
      <c r="Q100" s="49">
        <v>170000</v>
      </c>
      <c r="R100" s="49">
        <v>170000</v>
      </c>
      <c r="S100" s="49">
        <v>170000</v>
      </c>
      <c r="T100" s="49">
        <v>170000</v>
      </c>
      <c r="U100" s="49">
        <v>170000</v>
      </c>
      <c r="V100" s="49">
        <v>170000</v>
      </c>
      <c r="W100" s="49">
        <v>170000</v>
      </c>
      <c r="X100" s="49">
        <v>170000</v>
      </c>
      <c r="Y100" s="49">
        <v>170000</v>
      </c>
      <c r="Z100" s="49">
        <f>SUM(N100:Y100)</f>
        <v>1800000</v>
      </c>
      <c r="AA100" s="49"/>
      <c r="AB100" s="163"/>
      <c r="AC100" s="75" t="s">
        <v>15</v>
      </c>
      <c r="AD100" s="74">
        <v>300000</v>
      </c>
      <c r="AE100" s="74">
        <v>300000</v>
      </c>
      <c r="AF100" s="74">
        <v>300000</v>
      </c>
      <c r="AG100" s="74">
        <v>300000</v>
      </c>
      <c r="AH100" s="74">
        <v>300000</v>
      </c>
      <c r="AI100" s="74">
        <v>300000</v>
      </c>
      <c r="AJ100" s="74">
        <v>300000</v>
      </c>
      <c r="AK100" s="74">
        <v>300000</v>
      </c>
      <c r="AL100" s="74">
        <v>300000</v>
      </c>
      <c r="AM100" s="74">
        <v>300000</v>
      </c>
      <c r="AN100" s="74">
        <v>300000</v>
      </c>
      <c r="AO100" s="74">
        <v>300000</v>
      </c>
      <c r="AP100" s="74">
        <f t="shared" si="149"/>
        <v>3600000</v>
      </c>
    </row>
    <row r="101" spans="1:42" ht="30" customHeight="1">
      <c r="A101" s="24" t="s">
        <v>16</v>
      </c>
      <c r="B101" s="25">
        <v>50000</v>
      </c>
      <c r="C101" s="25">
        <v>50000</v>
      </c>
      <c r="D101" s="25">
        <v>50000</v>
      </c>
      <c r="E101" s="25">
        <v>50000</v>
      </c>
      <c r="F101" s="25">
        <v>50000</v>
      </c>
      <c r="G101" s="25">
        <v>50000</v>
      </c>
      <c r="H101" s="25">
        <v>50000</v>
      </c>
      <c r="I101" s="25">
        <v>50000</v>
      </c>
      <c r="J101" s="25">
        <f t="shared" si="148"/>
        <v>400000</v>
      </c>
      <c r="K101" s="25"/>
      <c r="L101" s="141"/>
      <c r="M101" s="56" t="s">
        <v>16</v>
      </c>
      <c r="N101" s="49">
        <v>50000</v>
      </c>
      <c r="O101" s="49">
        <v>50000</v>
      </c>
      <c r="P101" s="49">
        <v>70000</v>
      </c>
      <c r="Q101" s="49">
        <v>70000</v>
      </c>
      <c r="R101" s="49">
        <v>80000</v>
      </c>
      <c r="S101" s="49">
        <v>80000</v>
      </c>
      <c r="T101" s="49">
        <v>90000</v>
      </c>
      <c r="U101" s="49">
        <v>90000</v>
      </c>
      <c r="V101" s="49">
        <v>100000</v>
      </c>
      <c r="W101" s="49">
        <v>110000</v>
      </c>
      <c r="X101" s="49">
        <v>120000</v>
      </c>
      <c r="Y101" s="49">
        <v>130000</v>
      </c>
      <c r="Z101" s="49">
        <f>SUM(N101:Y101)</f>
        <v>1040000</v>
      </c>
      <c r="AA101" s="49"/>
      <c r="AB101" s="163"/>
      <c r="AC101" s="75" t="s">
        <v>16</v>
      </c>
      <c r="AD101" s="74">
        <v>150000</v>
      </c>
      <c r="AE101" s="74">
        <v>165000</v>
      </c>
      <c r="AF101" s="74">
        <v>180000</v>
      </c>
      <c r="AG101" s="74">
        <v>195000</v>
      </c>
      <c r="AH101" s="74">
        <v>210000</v>
      </c>
      <c r="AI101" s="74">
        <v>225000</v>
      </c>
      <c r="AJ101" s="74">
        <v>240000</v>
      </c>
      <c r="AK101" s="74">
        <v>255000</v>
      </c>
      <c r="AL101" s="74">
        <v>270000</v>
      </c>
      <c r="AM101" s="74">
        <v>285000</v>
      </c>
      <c r="AN101" s="74">
        <v>300000</v>
      </c>
      <c r="AO101" s="74">
        <v>315000</v>
      </c>
      <c r="AP101" s="74">
        <f t="shared" si="149"/>
        <v>2790000</v>
      </c>
    </row>
    <row r="102" spans="1:42" ht="30" customHeight="1">
      <c r="A102" s="42" t="s">
        <v>17</v>
      </c>
      <c r="B102" s="10">
        <f>SUM(B98:B101)</f>
        <v>810000</v>
      </c>
      <c r="C102" s="10">
        <f t="shared" ref="C102:I102" si="150">SUM(C98:C101)</f>
        <v>980000</v>
      </c>
      <c r="D102" s="10">
        <f t="shared" si="150"/>
        <v>990000</v>
      </c>
      <c r="E102" s="10">
        <f t="shared" si="150"/>
        <v>950000</v>
      </c>
      <c r="F102" s="10">
        <f t="shared" si="150"/>
        <v>940000</v>
      </c>
      <c r="G102" s="10">
        <f t="shared" si="150"/>
        <v>700000</v>
      </c>
      <c r="H102" s="10">
        <f t="shared" si="150"/>
        <v>650000</v>
      </c>
      <c r="I102" s="10">
        <f t="shared" si="150"/>
        <v>740000</v>
      </c>
      <c r="J102" s="10">
        <f t="shared" si="148"/>
        <v>6760000</v>
      </c>
      <c r="K102" s="10"/>
      <c r="L102" s="141"/>
      <c r="M102" s="56" t="s">
        <v>17</v>
      </c>
      <c r="N102" s="47">
        <f>N98+N99+N100+N101</f>
        <v>740000</v>
      </c>
      <c r="O102" s="47">
        <f t="shared" ref="O102:Y102" si="151">O98+O99+O100+O101</f>
        <v>890000</v>
      </c>
      <c r="P102" s="47">
        <f t="shared" si="151"/>
        <v>1030000</v>
      </c>
      <c r="Q102" s="47">
        <f t="shared" si="151"/>
        <v>1550000</v>
      </c>
      <c r="R102" s="47">
        <f t="shared" si="151"/>
        <v>1560000</v>
      </c>
      <c r="S102" s="47">
        <f t="shared" si="151"/>
        <v>1710000</v>
      </c>
      <c r="T102" s="47">
        <f t="shared" si="151"/>
        <v>1870000</v>
      </c>
      <c r="U102" s="47">
        <f t="shared" si="151"/>
        <v>1970000</v>
      </c>
      <c r="V102" s="47">
        <f t="shared" si="151"/>
        <v>2130000</v>
      </c>
      <c r="W102" s="47">
        <f t="shared" si="151"/>
        <v>2140000</v>
      </c>
      <c r="X102" s="47">
        <f t="shared" si="151"/>
        <v>2150000</v>
      </c>
      <c r="Y102" s="47">
        <f t="shared" si="151"/>
        <v>2160000</v>
      </c>
      <c r="Z102" s="47">
        <f>SUM(N102:Y102)</f>
        <v>19900000</v>
      </c>
      <c r="AA102" s="93"/>
      <c r="AB102" s="163"/>
      <c r="AC102" s="75" t="s">
        <v>17</v>
      </c>
      <c r="AD102" s="73">
        <f>AD98+AD99+AD100+AD101</f>
        <v>3460000</v>
      </c>
      <c r="AE102" s="73">
        <f t="shared" ref="AE102:AN102" si="152">AE98+AE99+AE100+AE101</f>
        <v>3475000</v>
      </c>
      <c r="AF102" s="73">
        <f t="shared" si="152"/>
        <v>3490000</v>
      </c>
      <c r="AG102" s="73">
        <f t="shared" si="152"/>
        <v>3655000</v>
      </c>
      <c r="AH102" s="73">
        <f t="shared" si="152"/>
        <v>3670000</v>
      </c>
      <c r="AI102" s="73">
        <f t="shared" si="152"/>
        <v>3685000</v>
      </c>
      <c r="AJ102" s="73">
        <f t="shared" si="152"/>
        <v>3850000</v>
      </c>
      <c r="AK102" s="73">
        <f t="shared" si="152"/>
        <v>3865000</v>
      </c>
      <c r="AL102" s="73">
        <f t="shared" si="152"/>
        <v>3880000</v>
      </c>
      <c r="AM102" s="73">
        <f t="shared" si="152"/>
        <v>4045000</v>
      </c>
      <c r="AN102" s="73">
        <f t="shared" si="152"/>
        <v>4060000</v>
      </c>
      <c r="AO102" s="73">
        <f>AO98+AO99+AO100+AO101</f>
        <v>4075000</v>
      </c>
      <c r="AP102" s="73">
        <f t="shared" si="149"/>
        <v>45210000</v>
      </c>
    </row>
    <row r="103" spans="1:42" ht="30" customHeight="1">
      <c r="A103" s="43"/>
      <c r="B103" s="140" t="s">
        <v>74</v>
      </c>
      <c r="C103" s="140"/>
      <c r="D103" s="140"/>
      <c r="E103" s="140"/>
      <c r="F103" s="140"/>
      <c r="G103" s="140"/>
      <c r="H103" s="140"/>
      <c r="I103" s="140"/>
      <c r="J103" s="140"/>
      <c r="K103" s="96"/>
      <c r="L103" s="141"/>
      <c r="M103" s="66"/>
      <c r="N103" s="173" t="s">
        <v>74</v>
      </c>
      <c r="O103" s="173"/>
      <c r="P103" s="173"/>
      <c r="Q103" s="173"/>
      <c r="R103" s="173"/>
      <c r="S103" s="173"/>
      <c r="T103" s="173"/>
      <c r="U103" s="173"/>
      <c r="V103" s="173"/>
      <c r="W103" s="173"/>
      <c r="X103" s="173"/>
      <c r="Y103" s="173"/>
      <c r="Z103" s="173"/>
      <c r="AA103" s="105"/>
      <c r="AB103" s="163"/>
      <c r="AC103" s="151" t="s">
        <v>74</v>
      </c>
      <c r="AD103" s="152"/>
      <c r="AE103" s="152"/>
      <c r="AF103" s="152"/>
      <c r="AG103" s="152"/>
      <c r="AH103" s="152"/>
      <c r="AI103" s="152"/>
      <c r="AJ103" s="152"/>
      <c r="AK103" s="152"/>
      <c r="AL103" s="152"/>
      <c r="AM103" s="152"/>
      <c r="AN103" s="152"/>
      <c r="AO103" s="152"/>
      <c r="AP103" s="153"/>
    </row>
    <row r="104" spans="1:42" ht="30" customHeight="1">
      <c r="A104" s="24" t="s">
        <v>18</v>
      </c>
      <c r="B104" s="25">
        <v>25000</v>
      </c>
      <c r="C104" s="25">
        <v>35000</v>
      </c>
      <c r="D104" s="25">
        <v>40000</v>
      </c>
      <c r="E104" s="25">
        <v>50000</v>
      </c>
      <c r="F104" s="25">
        <v>70000</v>
      </c>
      <c r="G104" s="25">
        <v>15000</v>
      </c>
      <c r="H104" s="25">
        <v>10000</v>
      </c>
      <c r="I104" s="25">
        <v>14000</v>
      </c>
      <c r="J104" s="25">
        <f t="shared" si="148"/>
        <v>259000</v>
      </c>
      <c r="K104" s="25"/>
      <c r="L104" s="141"/>
      <c r="M104" s="56" t="s">
        <v>18</v>
      </c>
      <c r="N104" s="49">
        <v>40000</v>
      </c>
      <c r="O104" s="49">
        <v>150000</v>
      </c>
      <c r="P104" s="49">
        <v>220000</v>
      </c>
      <c r="Q104" s="49">
        <v>720000</v>
      </c>
      <c r="R104" s="49">
        <v>770000</v>
      </c>
      <c r="S104" s="49">
        <v>820000</v>
      </c>
      <c r="T104" s="49">
        <v>870000</v>
      </c>
      <c r="U104" s="49">
        <v>920000</v>
      </c>
      <c r="V104" s="49">
        <v>970000</v>
      </c>
      <c r="W104" s="49">
        <v>1020000</v>
      </c>
      <c r="X104" s="49">
        <v>1070000</v>
      </c>
      <c r="Y104" s="49">
        <v>1120000</v>
      </c>
      <c r="Z104" s="49">
        <f>SUM(N104:Y104)</f>
        <v>8690000</v>
      </c>
      <c r="AA104" s="49"/>
      <c r="AB104" s="163"/>
      <c r="AC104" s="75" t="s">
        <v>18</v>
      </c>
      <c r="AD104" s="74">
        <v>1300000</v>
      </c>
      <c r="AE104" s="74">
        <v>1350000</v>
      </c>
      <c r="AF104" s="74">
        <v>1400000</v>
      </c>
      <c r="AG104" s="74">
        <v>1450000</v>
      </c>
      <c r="AH104" s="74">
        <v>1500000</v>
      </c>
      <c r="AI104" s="74">
        <v>1550000</v>
      </c>
      <c r="AJ104" s="74">
        <v>1600000</v>
      </c>
      <c r="AK104" s="74">
        <v>1650000</v>
      </c>
      <c r="AL104" s="74">
        <v>1700000</v>
      </c>
      <c r="AM104" s="74">
        <v>1750000</v>
      </c>
      <c r="AN104" s="74">
        <v>1800000</v>
      </c>
      <c r="AO104" s="74">
        <v>1850000</v>
      </c>
      <c r="AP104" s="74">
        <f t="shared" si="149"/>
        <v>18900000</v>
      </c>
    </row>
    <row r="105" spans="1:42" ht="30" customHeight="1">
      <c r="A105" s="24" t="s">
        <v>43</v>
      </c>
      <c r="B105" s="25">
        <f t="shared" ref="B105:I105" si="153">B86*0.1</f>
        <v>39577.06900000001</v>
      </c>
      <c r="C105" s="25">
        <f t="shared" si="153"/>
        <v>163274.44900000002</v>
      </c>
      <c r="D105" s="25">
        <f t="shared" si="153"/>
        <v>174533.06600000002</v>
      </c>
      <c r="E105" s="25">
        <f t="shared" si="153"/>
        <v>181393.36900000001</v>
      </c>
      <c r="F105" s="25">
        <f t="shared" si="153"/>
        <v>113151.598</v>
      </c>
      <c r="G105" s="25">
        <f t="shared" si="153"/>
        <v>62962.830000000009</v>
      </c>
      <c r="H105" s="25">
        <f t="shared" si="153"/>
        <v>58771.17</v>
      </c>
      <c r="I105" s="25">
        <f t="shared" si="153"/>
        <v>99825.841000000015</v>
      </c>
      <c r="J105" s="25">
        <f t="shared" si="148"/>
        <v>893489.39199999999</v>
      </c>
      <c r="K105" s="25"/>
      <c r="L105" s="141"/>
      <c r="M105" s="56" t="s">
        <v>43</v>
      </c>
      <c r="N105" s="49">
        <f>N86*0.1</f>
        <v>60097.16</v>
      </c>
      <c r="O105" s="49">
        <f>O86*0.1</f>
        <v>203146.92660000001</v>
      </c>
      <c r="P105" s="49">
        <f>P86*0.15</f>
        <v>479882.12561610009</v>
      </c>
      <c r="Q105" s="49">
        <f>Q86*0.15</f>
        <v>850127.66098276817</v>
      </c>
      <c r="R105" s="49">
        <f>R86*0.15</f>
        <v>1204933.2187217367</v>
      </c>
      <c r="S105" s="49">
        <f>S86*0.17</f>
        <v>1892139.745884415</v>
      </c>
      <c r="T105" s="49">
        <f t="shared" ref="T105:Y105" si="154">T86*0.17</f>
        <v>2563078.8830201179</v>
      </c>
      <c r="U105" s="49">
        <f t="shared" si="154"/>
        <v>3076782.396436587</v>
      </c>
      <c r="V105" s="49">
        <f t="shared" si="154"/>
        <v>3069726.102200551</v>
      </c>
      <c r="W105" s="49">
        <f t="shared" si="154"/>
        <v>2633933.7737416071</v>
      </c>
      <c r="X105" s="49">
        <f t="shared" si="154"/>
        <v>2953829.260473263</v>
      </c>
      <c r="Y105" s="49">
        <f t="shared" si="154"/>
        <v>3490698.2658231738</v>
      </c>
      <c r="Z105" s="49">
        <f>SUM(N105:Y105)</f>
        <v>22478375.519500319</v>
      </c>
      <c r="AA105" s="49"/>
      <c r="AB105" s="163"/>
      <c r="AC105" s="75" t="s">
        <v>43</v>
      </c>
      <c r="AD105" s="74">
        <f>AD86*0.17</f>
        <v>2862248.7240000009</v>
      </c>
      <c r="AE105" s="74">
        <f t="shared" ref="AE105:AO105" si="155">AE86*0.17</f>
        <v>3419488.2356000002</v>
      </c>
      <c r="AF105" s="74">
        <f t="shared" si="155"/>
        <v>3865356.2354000011</v>
      </c>
      <c r="AG105" s="74">
        <f t="shared" si="155"/>
        <v>4796815.2306000004</v>
      </c>
      <c r="AH105" s="74">
        <f t="shared" si="155"/>
        <v>5396842.6780000003</v>
      </c>
      <c r="AI105" s="74">
        <f t="shared" si="155"/>
        <v>6454078.5005000001</v>
      </c>
      <c r="AJ105" s="74">
        <f t="shared" si="155"/>
        <v>7209269.5158000011</v>
      </c>
      <c r="AK105" s="74">
        <f t="shared" si="155"/>
        <v>8076898.2896999996</v>
      </c>
      <c r="AL105" s="74">
        <f t="shared" si="155"/>
        <v>7769085.8602000009</v>
      </c>
      <c r="AM105" s="74">
        <f t="shared" si="155"/>
        <v>7446511.0301999981</v>
      </c>
      <c r="AN105" s="74">
        <f t="shared" si="155"/>
        <v>7803329.3681999994</v>
      </c>
      <c r="AO105" s="74">
        <f t="shared" si="155"/>
        <v>8936688.4401000012</v>
      </c>
      <c r="AP105" s="74">
        <f t="shared" si="149"/>
        <v>74036612.1083</v>
      </c>
    </row>
    <row r="106" spans="1:42" ht="30" customHeight="1">
      <c r="A106" s="24" t="s">
        <v>19</v>
      </c>
      <c r="B106" s="25">
        <v>20000</v>
      </c>
      <c r="C106" s="25">
        <v>35000</v>
      </c>
      <c r="D106" s="25">
        <v>35000</v>
      </c>
      <c r="E106" s="25">
        <v>30000</v>
      </c>
      <c r="F106" s="25">
        <v>20000</v>
      </c>
      <c r="G106" s="25">
        <v>20000</v>
      </c>
      <c r="H106" s="25">
        <v>20000</v>
      </c>
      <c r="I106" s="25">
        <v>20000</v>
      </c>
      <c r="J106" s="25">
        <f t="shared" si="148"/>
        <v>200000</v>
      </c>
      <c r="K106" s="25"/>
      <c r="L106" s="141"/>
      <c r="M106" s="56" t="s">
        <v>19</v>
      </c>
      <c r="N106" s="49">
        <v>700000</v>
      </c>
      <c r="O106" s="49">
        <v>300000</v>
      </c>
      <c r="P106" s="49">
        <v>400000</v>
      </c>
      <c r="Q106" s="49">
        <v>500000</v>
      </c>
      <c r="R106" s="49">
        <v>600000</v>
      </c>
      <c r="S106" s="49">
        <v>700000</v>
      </c>
      <c r="T106" s="49">
        <v>800000</v>
      </c>
      <c r="U106" s="49">
        <v>900000</v>
      </c>
      <c r="V106" s="49">
        <v>1000000</v>
      </c>
      <c r="W106" s="49">
        <v>1100000</v>
      </c>
      <c r="X106" s="49">
        <v>1200000</v>
      </c>
      <c r="Y106" s="49">
        <v>1300000</v>
      </c>
      <c r="Z106" s="49">
        <f>SUM(N106:Y106)</f>
        <v>9500000</v>
      </c>
      <c r="AA106" s="49"/>
      <c r="AB106" s="163"/>
      <c r="AC106" s="75" t="s">
        <v>19</v>
      </c>
      <c r="AD106" s="74">
        <v>1500000</v>
      </c>
      <c r="AE106" s="74">
        <v>1700000</v>
      </c>
      <c r="AF106" s="74">
        <v>1900000</v>
      </c>
      <c r="AG106" s="74">
        <v>2100000</v>
      </c>
      <c r="AH106" s="74">
        <v>2300000</v>
      </c>
      <c r="AI106" s="74">
        <v>2500000</v>
      </c>
      <c r="AJ106" s="74">
        <v>2700000</v>
      </c>
      <c r="AK106" s="74">
        <v>2900000</v>
      </c>
      <c r="AL106" s="74">
        <v>3100000</v>
      </c>
      <c r="AM106" s="74">
        <v>3300000</v>
      </c>
      <c r="AN106" s="74">
        <v>3500000</v>
      </c>
      <c r="AO106" s="74">
        <v>3700000</v>
      </c>
      <c r="AP106" s="74">
        <f t="shared" si="149"/>
        <v>31200000</v>
      </c>
    </row>
    <row r="107" spans="1:42" ht="30" customHeight="1">
      <c r="A107" s="44" t="s">
        <v>20</v>
      </c>
      <c r="B107" s="10">
        <f>B104+B105+B106</f>
        <v>84577.069000000018</v>
      </c>
      <c r="C107" s="10">
        <f t="shared" ref="C107:I107" si="156">C104+C105+C106</f>
        <v>233274.44900000002</v>
      </c>
      <c r="D107" s="10">
        <f t="shared" si="156"/>
        <v>249533.06600000002</v>
      </c>
      <c r="E107" s="10">
        <f t="shared" si="156"/>
        <v>261393.36900000001</v>
      </c>
      <c r="F107" s="10">
        <f t="shared" si="156"/>
        <v>203151.598</v>
      </c>
      <c r="G107" s="10">
        <f t="shared" si="156"/>
        <v>97962.830000000016</v>
      </c>
      <c r="H107" s="10">
        <f t="shared" si="156"/>
        <v>88771.17</v>
      </c>
      <c r="I107" s="10">
        <f t="shared" si="156"/>
        <v>133825.84100000001</v>
      </c>
      <c r="J107" s="10">
        <f t="shared" si="148"/>
        <v>1352489.392</v>
      </c>
      <c r="K107" s="10"/>
      <c r="L107" s="141"/>
      <c r="M107" s="58" t="s">
        <v>20</v>
      </c>
      <c r="N107" s="47">
        <f>N104+N105+N106</f>
        <v>800097.16</v>
      </c>
      <c r="O107" s="47">
        <f t="shared" ref="O107:Y107" si="157">O104+O105+O106</f>
        <v>653146.92660000001</v>
      </c>
      <c r="P107" s="47">
        <f t="shared" si="157"/>
        <v>1099882.1256161002</v>
      </c>
      <c r="Q107" s="47">
        <f t="shared" si="157"/>
        <v>2070127.6609827681</v>
      </c>
      <c r="R107" s="47">
        <f t="shared" si="157"/>
        <v>2574933.2187217367</v>
      </c>
      <c r="S107" s="47">
        <f t="shared" si="157"/>
        <v>3412139.7458844148</v>
      </c>
      <c r="T107" s="47">
        <f t="shared" si="157"/>
        <v>4233078.8830201179</v>
      </c>
      <c r="U107" s="47">
        <f t="shared" si="157"/>
        <v>4896782.396436587</v>
      </c>
      <c r="V107" s="47">
        <f t="shared" si="157"/>
        <v>5039726.102200551</v>
      </c>
      <c r="W107" s="47">
        <f t="shared" si="157"/>
        <v>4753933.7737416066</v>
      </c>
      <c r="X107" s="47">
        <f t="shared" si="157"/>
        <v>5223829.2604732625</v>
      </c>
      <c r="Y107" s="47">
        <f t="shared" si="157"/>
        <v>5910698.2658231743</v>
      </c>
      <c r="Z107" s="47">
        <f>SUM(N107:Y107)</f>
        <v>40668375.519500315</v>
      </c>
      <c r="AA107" s="93"/>
      <c r="AB107" s="163"/>
      <c r="AC107" s="78" t="s">
        <v>20</v>
      </c>
      <c r="AD107" s="73">
        <f>AD104+AD105+AD106</f>
        <v>5662248.7240000013</v>
      </c>
      <c r="AE107" s="73">
        <f t="shared" ref="AE107:AO107" si="158">AE104+AE105+AE106</f>
        <v>6469488.2356000002</v>
      </c>
      <c r="AF107" s="73">
        <f t="shared" si="158"/>
        <v>7165356.2354000006</v>
      </c>
      <c r="AG107" s="73">
        <f t="shared" si="158"/>
        <v>8346815.2306000004</v>
      </c>
      <c r="AH107" s="73">
        <f t="shared" si="158"/>
        <v>9196842.6779999994</v>
      </c>
      <c r="AI107" s="73">
        <f t="shared" si="158"/>
        <v>10504078.500500001</v>
      </c>
      <c r="AJ107" s="73">
        <f t="shared" si="158"/>
        <v>11509269.515800001</v>
      </c>
      <c r="AK107" s="73">
        <f t="shared" si="158"/>
        <v>12626898.2897</v>
      </c>
      <c r="AL107" s="73">
        <f t="shared" si="158"/>
        <v>12569085.860200001</v>
      </c>
      <c r="AM107" s="73">
        <f t="shared" si="158"/>
        <v>12496511.030199997</v>
      </c>
      <c r="AN107" s="73">
        <f t="shared" si="158"/>
        <v>13103329.3682</v>
      </c>
      <c r="AO107" s="73">
        <f t="shared" si="158"/>
        <v>14486688.440100001</v>
      </c>
      <c r="AP107" s="73">
        <f t="shared" si="149"/>
        <v>124136612.10829999</v>
      </c>
    </row>
    <row r="108" spans="1:42" ht="30" customHeight="1">
      <c r="A108" s="44"/>
      <c r="B108" s="131" t="s">
        <v>75</v>
      </c>
      <c r="C108" s="132"/>
      <c r="D108" s="132"/>
      <c r="E108" s="132"/>
      <c r="F108" s="132"/>
      <c r="G108" s="132"/>
      <c r="H108" s="132"/>
      <c r="I108" s="132"/>
      <c r="J108" s="133"/>
      <c r="K108" s="92"/>
      <c r="L108" s="141"/>
      <c r="M108" s="58"/>
      <c r="N108" s="134" t="s">
        <v>75</v>
      </c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  <c r="AA108" s="93"/>
      <c r="AB108" s="163"/>
      <c r="AC108" s="154" t="s">
        <v>75</v>
      </c>
      <c r="AD108" s="155"/>
      <c r="AE108" s="155"/>
      <c r="AF108" s="155"/>
      <c r="AG108" s="155"/>
      <c r="AH108" s="155"/>
      <c r="AI108" s="155"/>
      <c r="AJ108" s="155"/>
      <c r="AK108" s="155"/>
      <c r="AL108" s="155"/>
      <c r="AM108" s="155"/>
      <c r="AN108" s="155"/>
      <c r="AO108" s="155"/>
      <c r="AP108" s="156"/>
    </row>
    <row r="109" spans="1:42" ht="30" customHeight="1">
      <c r="A109" s="44" t="s">
        <v>61</v>
      </c>
      <c r="B109" s="10">
        <f t="shared" ref="B109:I109" si="159">B86-B102-B107</f>
        <v>-498806.37899999996</v>
      </c>
      <c r="C109" s="10">
        <f t="shared" si="159"/>
        <v>419470.0410000002</v>
      </c>
      <c r="D109" s="10">
        <f t="shared" si="159"/>
        <v>505797.59400000016</v>
      </c>
      <c r="E109" s="10">
        <f t="shared" si="159"/>
        <v>602540.321</v>
      </c>
      <c r="F109" s="10">
        <f t="shared" si="159"/>
        <v>-11635.618000000017</v>
      </c>
      <c r="G109" s="10">
        <f t="shared" si="159"/>
        <v>-168334.52999999997</v>
      </c>
      <c r="H109" s="10">
        <f t="shared" si="159"/>
        <v>-151059.47000000003</v>
      </c>
      <c r="I109" s="10">
        <f t="shared" si="159"/>
        <v>124432.56900000013</v>
      </c>
      <c r="J109" s="10">
        <f t="shared" si="148"/>
        <v>822404.52800000063</v>
      </c>
      <c r="K109" s="10"/>
      <c r="L109" s="141"/>
      <c r="M109" s="58" t="s">
        <v>61</v>
      </c>
      <c r="N109" s="47">
        <f t="shared" ref="N109:Y109" si="160">N86-N102-N107</f>
        <v>-939125.56</v>
      </c>
      <c r="O109" s="47">
        <f t="shared" si="160"/>
        <v>488322.33939999982</v>
      </c>
      <c r="P109" s="47">
        <f t="shared" si="160"/>
        <v>1069332.0451579005</v>
      </c>
      <c r="Q109" s="47">
        <f t="shared" si="160"/>
        <v>2047390.0789023535</v>
      </c>
      <c r="R109" s="47">
        <f t="shared" si="160"/>
        <v>3897954.9060898419</v>
      </c>
      <c r="S109" s="47">
        <f t="shared" si="160"/>
        <v>6008094.0534356721</v>
      </c>
      <c r="T109" s="47">
        <f t="shared" si="160"/>
        <v>8973855.7229805738</v>
      </c>
      <c r="U109" s="47">
        <f t="shared" si="160"/>
        <v>11231937.582602158</v>
      </c>
      <c r="V109" s="47">
        <f t="shared" si="160"/>
        <v>10887486.263685042</v>
      </c>
      <c r="W109" s="47">
        <f t="shared" si="160"/>
        <v>8599794.307091374</v>
      </c>
      <c r="X109" s="47">
        <f t="shared" si="160"/>
        <v>10001636.977604754</v>
      </c>
      <c r="Y109" s="47">
        <f t="shared" si="160"/>
        <v>12462820.944901377</v>
      </c>
      <c r="Z109" s="47">
        <f t="shared" ref="Z109:Z114" si="161">SUM(N109:Y109)</f>
        <v>74729499.661851048</v>
      </c>
      <c r="AA109" s="93"/>
      <c r="AB109" s="163"/>
      <c r="AC109" s="78" t="s">
        <v>61</v>
      </c>
      <c r="AD109" s="73">
        <f>AD86-AD102-AD107</f>
        <v>7714508.4760000017</v>
      </c>
      <c r="AE109" s="73">
        <f t="shared" ref="AE109:AP109" si="162">AE86-AE102-AE107</f>
        <v>10170148.444399999</v>
      </c>
      <c r="AF109" s="73">
        <f t="shared" si="162"/>
        <v>12082033.384600004</v>
      </c>
      <c r="AG109" s="73">
        <f t="shared" si="162"/>
        <v>16214744.9494</v>
      </c>
      <c r="AH109" s="73">
        <f t="shared" si="162"/>
        <v>18879290.721999999</v>
      </c>
      <c r="AI109" s="73">
        <f t="shared" si="162"/>
        <v>23776089.149499997</v>
      </c>
      <c r="AJ109" s="73">
        <f t="shared" si="162"/>
        <v>27048198.224200003</v>
      </c>
      <c r="AK109" s="73">
        <f t="shared" si="162"/>
        <v>31019268.120299995</v>
      </c>
      <c r="AL109" s="73">
        <f t="shared" si="162"/>
        <v>29251419.1998</v>
      </c>
      <c r="AM109" s="73">
        <f t="shared" si="162"/>
        <v>27261495.02979999</v>
      </c>
      <c r="AN109" s="73">
        <f t="shared" si="162"/>
        <v>28738608.091799993</v>
      </c>
      <c r="AO109" s="73">
        <f t="shared" si="162"/>
        <v>34007067.089900002</v>
      </c>
      <c r="AP109" s="73">
        <f t="shared" si="162"/>
        <v>266162870.88170004</v>
      </c>
    </row>
    <row r="110" spans="1:42" ht="30" customHeight="1">
      <c r="A110" s="44" t="s">
        <v>25</v>
      </c>
      <c r="B110" s="25">
        <v>50000</v>
      </c>
      <c r="C110" s="25">
        <v>50000</v>
      </c>
      <c r="D110" s="25">
        <v>50000</v>
      </c>
      <c r="E110" s="25">
        <v>50000</v>
      </c>
      <c r="F110" s="25">
        <v>50000</v>
      </c>
      <c r="G110" s="25">
        <v>50000</v>
      </c>
      <c r="H110" s="25">
        <v>50000</v>
      </c>
      <c r="I110" s="25">
        <v>50000</v>
      </c>
      <c r="J110" s="25">
        <f t="shared" si="148"/>
        <v>400000</v>
      </c>
      <c r="K110" s="25"/>
      <c r="L110" s="141"/>
      <c r="M110" s="58" t="s">
        <v>25</v>
      </c>
      <c r="N110" s="49">
        <v>50000</v>
      </c>
      <c r="O110" s="49">
        <v>70000</v>
      </c>
      <c r="P110" s="49">
        <v>100000</v>
      </c>
      <c r="Q110" s="49">
        <v>130000</v>
      </c>
      <c r="R110" s="49">
        <v>160000</v>
      </c>
      <c r="S110" s="49">
        <v>190000</v>
      </c>
      <c r="T110" s="49">
        <v>220000</v>
      </c>
      <c r="U110" s="49">
        <v>250000</v>
      </c>
      <c r="V110" s="49">
        <v>250000</v>
      </c>
      <c r="W110" s="49">
        <v>250000</v>
      </c>
      <c r="X110" s="49">
        <v>250000</v>
      </c>
      <c r="Y110" s="49">
        <v>250000</v>
      </c>
      <c r="Z110" s="49">
        <f t="shared" si="161"/>
        <v>2170000</v>
      </c>
      <c r="AA110" s="49"/>
      <c r="AB110" s="163"/>
      <c r="AC110" s="78" t="s">
        <v>25</v>
      </c>
      <c r="AD110" s="74">
        <v>350000</v>
      </c>
      <c r="AE110" s="74">
        <v>400000</v>
      </c>
      <c r="AF110" s="74">
        <v>450000</v>
      </c>
      <c r="AG110" s="74">
        <v>500000</v>
      </c>
      <c r="AH110" s="74">
        <v>550000</v>
      </c>
      <c r="AI110" s="74">
        <v>600000</v>
      </c>
      <c r="AJ110" s="74">
        <v>650000</v>
      </c>
      <c r="AK110" s="74">
        <v>700000</v>
      </c>
      <c r="AL110" s="74">
        <v>750000</v>
      </c>
      <c r="AM110" s="74">
        <v>800000</v>
      </c>
      <c r="AN110" s="74">
        <v>850000</v>
      </c>
      <c r="AO110" s="74">
        <v>900000</v>
      </c>
      <c r="AP110" s="74">
        <f>SUM(AD110:AO110)</f>
        <v>7500000</v>
      </c>
    </row>
    <row r="111" spans="1:42" ht="30" customHeight="1">
      <c r="A111" s="44" t="s">
        <v>21</v>
      </c>
      <c r="B111" s="25">
        <v>0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f t="shared" si="148"/>
        <v>0</v>
      </c>
      <c r="K111" s="25"/>
      <c r="L111" s="141"/>
      <c r="M111" s="58" t="s">
        <v>21</v>
      </c>
      <c r="N111" s="49">
        <v>0</v>
      </c>
      <c r="O111" s="49">
        <v>0</v>
      </c>
      <c r="P111" s="49">
        <v>0</v>
      </c>
      <c r="Q111" s="49">
        <v>0</v>
      </c>
      <c r="R111" s="49">
        <v>0</v>
      </c>
      <c r="S111" s="49">
        <f>(S109*0.3*0.15)/12</f>
        <v>22530.352700383766</v>
      </c>
      <c r="T111" s="49">
        <f>((T109*0.3*0.15)+S111)/12</f>
        <v>35529.4883528758</v>
      </c>
      <c r="U111" s="49">
        <f t="shared" ref="U111" si="163">((U109*0.3*0.15)+T111)/12</f>
        <v>45080.556630831074</v>
      </c>
      <c r="V111" s="49">
        <f>((V109*0.3*0.15)+U111)/12</f>
        <v>44584.786541388159</v>
      </c>
      <c r="W111" s="49">
        <f t="shared" ref="W111:Y111" si="164">((W109*0.3*0.15)+V111)/12</f>
        <v>35964.627530041667</v>
      </c>
      <c r="X111" s="49">
        <f t="shared" si="164"/>
        <v>40503.190960187967</v>
      </c>
      <c r="Y111" s="49">
        <f t="shared" si="164"/>
        <v>50110.844456729159</v>
      </c>
      <c r="Z111" s="49">
        <f t="shared" si="161"/>
        <v>274303.84717243758</v>
      </c>
      <c r="AA111" s="49"/>
      <c r="AB111" s="163"/>
      <c r="AC111" s="78" t="s">
        <v>21</v>
      </c>
      <c r="AD111" s="87">
        <f>((AD109*0.3*0.15)+AB111)/12</f>
        <v>28929.406785000003</v>
      </c>
      <c r="AE111" s="87">
        <f t="shared" ref="AE111:AO111" si="165">((AE109*0.3*0.15)+AD111)/12</f>
        <v>40548.840565250001</v>
      </c>
      <c r="AF111" s="87">
        <f t="shared" si="165"/>
        <v>48686.69523935418</v>
      </c>
      <c r="AG111" s="87">
        <f t="shared" si="165"/>
        <v>64862.518163529508</v>
      </c>
      <c r="AH111" s="87">
        <f t="shared" si="165"/>
        <v>76202.550054460778</v>
      </c>
      <c r="AI111" s="87">
        <f t="shared" si="165"/>
        <v>95510.546815163383</v>
      </c>
      <c r="AJ111" s="87">
        <f t="shared" si="165"/>
        <v>109389.95557534695</v>
      </c>
      <c r="AK111" s="87">
        <f t="shared" si="165"/>
        <v>125438.08508240389</v>
      </c>
      <c r="AL111" s="87">
        <f t="shared" si="165"/>
        <v>120145.99575611699</v>
      </c>
      <c r="AM111" s="87">
        <f t="shared" si="165"/>
        <v>112242.77267475969</v>
      </c>
      <c r="AN111" s="87">
        <f t="shared" si="165"/>
        <v>117123.34473381325</v>
      </c>
      <c r="AO111" s="87">
        <f t="shared" si="165"/>
        <v>137286.78031494279</v>
      </c>
      <c r="AP111" s="74">
        <f t="shared" ref="AP111:AP113" si="166">SUM(AD111:AO111)</f>
        <v>1076367.4917601414</v>
      </c>
    </row>
    <row r="112" spans="1:42" ht="30" customHeight="1">
      <c r="A112" s="44" t="s">
        <v>22</v>
      </c>
      <c r="B112" s="25">
        <v>0</v>
      </c>
      <c r="C112" s="25">
        <v>0</v>
      </c>
      <c r="D112" s="25">
        <v>0</v>
      </c>
      <c r="E112" s="25">
        <v>0</v>
      </c>
      <c r="F112" s="25">
        <v>125000</v>
      </c>
      <c r="G112" s="25">
        <v>125000</v>
      </c>
      <c r="H112" s="25">
        <v>125000</v>
      </c>
      <c r="I112" s="25">
        <v>125000</v>
      </c>
      <c r="J112" s="25">
        <f t="shared" si="148"/>
        <v>500000</v>
      </c>
      <c r="K112" s="25"/>
      <c r="L112" s="141"/>
      <c r="M112" s="58" t="s">
        <v>22</v>
      </c>
      <c r="N112" s="49">
        <v>0</v>
      </c>
      <c r="O112" s="49">
        <v>0</v>
      </c>
      <c r="P112" s="49">
        <v>0</v>
      </c>
      <c r="Q112" s="49">
        <v>0</v>
      </c>
      <c r="R112" s="49">
        <v>0</v>
      </c>
      <c r="S112" s="49">
        <v>0</v>
      </c>
      <c r="T112" s="49">
        <v>0</v>
      </c>
      <c r="U112" s="49">
        <v>0</v>
      </c>
      <c r="V112" s="49">
        <v>0</v>
      </c>
      <c r="W112" s="49">
        <v>0</v>
      </c>
      <c r="X112" s="49">
        <v>0</v>
      </c>
      <c r="Y112" s="49">
        <v>0</v>
      </c>
      <c r="Z112" s="49">
        <f t="shared" si="161"/>
        <v>0</v>
      </c>
      <c r="AA112" s="49"/>
      <c r="AB112" s="163"/>
      <c r="AC112" s="78" t="s">
        <v>22</v>
      </c>
      <c r="AD112" s="77">
        <v>0</v>
      </c>
      <c r="AE112" s="77">
        <v>0</v>
      </c>
      <c r="AF112" s="77">
        <v>0</v>
      </c>
      <c r="AG112" s="77">
        <v>0</v>
      </c>
      <c r="AH112" s="77">
        <v>0</v>
      </c>
      <c r="AI112" s="77">
        <v>0</v>
      </c>
      <c r="AJ112" s="77">
        <v>0</v>
      </c>
      <c r="AK112" s="77">
        <v>0</v>
      </c>
      <c r="AL112" s="77">
        <v>0</v>
      </c>
      <c r="AM112" s="77">
        <v>0</v>
      </c>
      <c r="AN112" s="77">
        <v>0</v>
      </c>
      <c r="AO112" s="77">
        <v>0</v>
      </c>
      <c r="AP112" s="74">
        <f t="shared" si="166"/>
        <v>0</v>
      </c>
    </row>
    <row r="113" spans="1:42" ht="30" customHeight="1">
      <c r="A113" s="44" t="s">
        <v>23</v>
      </c>
      <c r="B113" s="25">
        <v>45000</v>
      </c>
      <c r="C113" s="25">
        <v>45000</v>
      </c>
      <c r="D113" s="25">
        <v>58000</v>
      </c>
      <c r="E113" s="25">
        <v>58000</v>
      </c>
      <c r="F113" s="25">
        <v>58000</v>
      </c>
      <c r="G113" s="25">
        <v>35000</v>
      </c>
      <c r="H113" s="25">
        <v>35000</v>
      </c>
      <c r="I113" s="25">
        <v>35000</v>
      </c>
      <c r="J113" s="25">
        <f t="shared" si="148"/>
        <v>369000</v>
      </c>
      <c r="K113" s="25"/>
      <c r="L113" s="141"/>
      <c r="M113" s="58" t="s">
        <v>23</v>
      </c>
      <c r="N113" s="49">
        <f>0.03*N5</f>
        <v>46329.72</v>
      </c>
      <c r="O113" s="49">
        <f>0.03*O5</f>
        <v>216907.99799999999</v>
      </c>
      <c r="P113" s="49">
        <f t="shared" ref="P113:Y113" si="167">0.05*P5</f>
        <v>491249.51107000001</v>
      </c>
      <c r="Q113" s="49">
        <f t="shared" si="167"/>
        <v>782101.37617680011</v>
      </c>
      <c r="R113" s="49">
        <f t="shared" si="167"/>
        <v>1065220.7877156639</v>
      </c>
      <c r="S113" s="49">
        <f t="shared" si="167"/>
        <v>1349313.1738854591</v>
      </c>
      <c r="T113" s="49">
        <f t="shared" si="167"/>
        <v>1806952.5110026386</v>
      </c>
      <c r="U113" s="49">
        <f t="shared" si="167"/>
        <v>2205537.3676999896</v>
      </c>
      <c r="V113" s="49">
        <f t="shared" si="167"/>
        <v>2259900.3000700003</v>
      </c>
      <c r="W113" s="49">
        <f t="shared" si="167"/>
        <v>2043492.2000700005</v>
      </c>
      <c r="X113" s="49">
        <f t="shared" si="167"/>
        <v>2263865.9355400004</v>
      </c>
      <c r="Y113" s="49">
        <f t="shared" si="167"/>
        <v>2495713.0425400003</v>
      </c>
      <c r="Z113" s="49">
        <f t="shared" si="161"/>
        <v>17026583.923770554</v>
      </c>
      <c r="AA113" s="49"/>
      <c r="AB113" s="163"/>
      <c r="AC113" s="78" t="s">
        <v>23</v>
      </c>
      <c r="AD113" s="74">
        <f t="shared" ref="AD113:AO113" si="168">AD5*0.05</f>
        <v>2594825.3000000003</v>
      </c>
      <c r="AE113" s="74">
        <f t="shared" si="168"/>
        <v>3027539.7</v>
      </c>
      <c r="AF113" s="74">
        <f t="shared" si="168"/>
        <v>3340425.35</v>
      </c>
      <c r="AG113" s="74">
        <f t="shared" si="168"/>
        <v>3732430.7</v>
      </c>
      <c r="AH113" s="74">
        <f t="shared" si="168"/>
        <v>4059660.5500000003</v>
      </c>
      <c r="AI113" s="74">
        <f t="shared" si="168"/>
        <v>4769234.55</v>
      </c>
      <c r="AJ113" s="74">
        <f t="shared" si="168"/>
        <v>5163388.6000000006</v>
      </c>
      <c r="AK113" s="74">
        <f t="shared" si="168"/>
        <v>5654716.5</v>
      </c>
      <c r="AL113" s="74">
        <f t="shared" si="168"/>
        <v>5781341.4000000004</v>
      </c>
      <c r="AM113" s="74">
        <f t="shared" si="168"/>
        <v>5757542.5500000007</v>
      </c>
      <c r="AN113" s="74">
        <f t="shared" si="168"/>
        <v>5951874.8000000007</v>
      </c>
      <c r="AO113" s="74">
        <f t="shared" si="168"/>
        <v>6519243.3500000006</v>
      </c>
      <c r="AP113" s="74">
        <f t="shared" si="166"/>
        <v>56352223.350000001</v>
      </c>
    </row>
    <row r="114" spans="1:42" ht="30" customHeight="1">
      <c r="A114" s="67" t="s">
        <v>24</v>
      </c>
      <c r="B114" s="68">
        <f t="shared" ref="B114:J114" si="169">B109-B110-B112-B113</f>
        <v>-593806.37899999996</v>
      </c>
      <c r="C114" s="68">
        <f t="shared" si="169"/>
        <v>324470.0410000002</v>
      </c>
      <c r="D114" s="68">
        <f t="shared" si="169"/>
        <v>397797.59400000016</v>
      </c>
      <c r="E114" s="68">
        <f t="shared" si="169"/>
        <v>494540.321</v>
      </c>
      <c r="F114" s="68">
        <f t="shared" si="169"/>
        <v>-244635.61800000002</v>
      </c>
      <c r="G114" s="68">
        <f t="shared" si="169"/>
        <v>-378334.52999999997</v>
      </c>
      <c r="H114" s="68">
        <f t="shared" si="169"/>
        <v>-361059.47000000003</v>
      </c>
      <c r="I114" s="68">
        <f t="shared" si="169"/>
        <v>-85567.430999999866</v>
      </c>
      <c r="J114" s="68">
        <f t="shared" si="169"/>
        <v>-446595.47199999937</v>
      </c>
      <c r="K114" s="68"/>
      <c r="L114" s="141"/>
      <c r="M114" s="86" t="s">
        <v>24</v>
      </c>
      <c r="N114" s="68">
        <f>N109-N110+N111-N112-N113</f>
        <v>-1035455.28</v>
      </c>
      <c r="O114" s="68">
        <f t="shared" ref="O114:Y114" si="170">O109-O110+O111-O112-O113</f>
        <v>201414.34139999983</v>
      </c>
      <c r="P114" s="68">
        <f t="shared" si="170"/>
        <v>478082.53408790054</v>
      </c>
      <c r="Q114" s="68">
        <f t="shared" si="170"/>
        <v>1135288.7027255534</v>
      </c>
      <c r="R114" s="68">
        <f t="shared" si="170"/>
        <v>2672734.1183741782</v>
      </c>
      <c r="S114" s="68">
        <f t="shared" si="170"/>
        <v>4491311.2322505964</v>
      </c>
      <c r="T114" s="68">
        <f t="shared" si="170"/>
        <v>6982432.7003308116</v>
      </c>
      <c r="U114" s="68">
        <f t="shared" si="170"/>
        <v>8821480.7715329994</v>
      </c>
      <c r="V114" s="68">
        <f t="shared" si="170"/>
        <v>8422170.7501564287</v>
      </c>
      <c r="W114" s="68">
        <f t="shared" si="170"/>
        <v>6342266.7345514158</v>
      </c>
      <c r="X114" s="68">
        <f t="shared" si="170"/>
        <v>7528274.2330249418</v>
      </c>
      <c r="Y114" s="68">
        <f t="shared" si="170"/>
        <v>9767218.7468181048</v>
      </c>
      <c r="Z114" s="68">
        <f t="shared" si="161"/>
        <v>55807219.585252926</v>
      </c>
      <c r="AA114" s="68"/>
      <c r="AB114" s="163"/>
      <c r="AC114" s="85" t="s">
        <v>24</v>
      </c>
      <c r="AD114" s="39">
        <f>AD109-AD110+AD111-AD112-AD113</f>
        <v>4798612.582785001</v>
      </c>
      <c r="AE114" s="39">
        <f t="shared" ref="AE114:AP114" si="171">AE109-AE110+AE111-AE112-AE113</f>
        <v>6783157.5849652486</v>
      </c>
      <c r="AF114" s="39">
        <f t="shared" si="171"/>
        <v>8340294.7298393585</v>
      </c>
      <c r="AG114" s="39">
        <f t="shared" si="171"/>
        <v>12047176.767563529</v>
      </c>
      <c r="AH114" s="39">
        <f t="shared" si="171"/>
        <v>14345832.722054459</v>
      </c>
      <c r="AI114" s="39">
        <f t="shared" si="171"/>
        <v>18502365.146315161</v>
      </c>
      <c r="AJ114" s="39">
        <f t="shared" si="171"/>
        <v>21344199.579775348</v>
      </c>
      <c r="AK114" s="39">
        <f t="shared" si="171"/>
        <v>24789989.705382399</v>
      </c>
      <c r="AL114" s="39">
        <f t="shared" si="171"/>
        <v>22840223.795556113</v>
      </c>
      <c r="AM114" s="39">
        <f t="shared" si="171"/>
        <v>20816195.252474748</v>
      </c>
      <c r="AN114" s="39">
        <f t="shared" si="171"/>
        <v>22053856.636533804</v>
      </c>
      <c r="AO114" s="39">
        <f t="shared" si="171"/>
        <v>26725110.520214941</v>
      </c>
      <c r="AP114" s="39">
        <f t="shared" si="171"/>
        <v>203387015.02346018</v>
      </c>
    </row>
    <row r="117" spans="1:42">
      <c r="E117" s="1"/>
    </row>
    <row r="118" spans="1:42">
      <c r="Z118" s="5"/>
      <c r="AA118" s="5"/>
    </row>
  </sheetData>
  <mergeCells count="39">
    <mergeCell ref="N103:Z103"/>
    <mergeCell ref="AD97:AP97"/>
    <mergeCell ref="AC28:AP28"/>
    <mergeCell ref="AC36:AP36"/>
    <mergeCell ref="M62:Z62"/>
    <mergeCell ref="AC62:AP62"/>
    <mergeCell ref="AD85:AP85"/>
    <mergeCell ref="A46:J46"/>
    <mergeCell ref="AC11:AP11"/>
    <mergeCell ref="AC3:AP3"/>
    <mergeCell ref="AC7:AP7"/>
    <mergeCell ref="M7:Z7"/>
    <mergeCell ref="M3:Z3"/>
    <mergeCell ref="AB3:AB114"/>
    <mergeCell ref="M57:Z57"/>
    <mergeCell ref="M46:Z46"/>
    <mergeCell ref="M11:Z11"/>
    <mergeCell ref="AC46:AP46"/>
    <mergeCell ref="AC57:AP57"/>
    <mergeCell ref="AC103:AP103"/>
    <mergeCell ref="AC108:AP108"/>
    <mergeCell ref="M28:Z28"/>
    <mergeCell ref="M36:Z36"/>
    <mergeCell ref="A24:J24"/>
    <mergeCell ref="A62:J62"/>
    <mergeCell ref="B108:J108"/>
    <mergeCell ref="N108:Z108"/>
    <mergeCell ref="B97:J97"/>
    <mergeCell ref="B85:J85"/>
    <mergeCell ref="N85:Z85"/>
    <mergeCell ref="N97:Z97"/>
    <mergeCell ref="B103:J103"/>
    <mergeCell ref="L3:L114"/>
    <mergeCell ref="A3:J3"/>
    <mergeCell ref="A57:J57"/>
    <mergeCell ref="A7:J7"/>
    <mergeCell ref="A11:J11"/>
    <mergeCell ref="A28:J28"/>
    <mergeCell ref="A36:J36"/>
  </mergeCells>
  <pageMargins left="0.25" right="0.25" top="0.75" bottom="0.75" header="0.3" footer="0.3"/>
  <pageSetup paperSize="9" scale="31" orientation="landscape" r:id="rId1"/>
  <rowBreaks count="2" manualBreakCount="2">
    <brk id="35" max="16383" man="1"/>
    <brk id="61" max="16383" man="1"/>
  </rowBreaks>
  <colBreaks count="2" manualBreakCount="2">
    <brk id="11" max="1048575" man="1"/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>WBG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Islambek Safayev</dc:creator>
  <cp:lastModifiedBy>User</cp:lastModifiedBy>
  <cp:lastPrinted>2025-02-24T10:54:25Z</cp:lastPrinted>
  <dcterms:created xsi:type="dcterms:W3CDTF">2024-11-16T08:39:36Z</dcterms:created>
  <dcterms:modified xsi:type="dcterms:W3CDTF">2025-03-23T16:15:52Z</dcterms:modified>
</cp:coreProperties>
</file>