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fileSharing readOnlyRecommended="1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8_{0A5E4897-4E53-714B-AA22-817515AA8DEB}" xr6:coauthVersionLast="36" xr6:coauthVersionMax="36" xr10:uidLastSave="{00000000-0000-0000-0000-000000000000}"/>
  <bookViews>
    <workbookView xWindow="0" yWindow="460" windowWidth="25600" windowHeight="14560" xr2:uid="{00000000-000D-0000-FFFF-FFFF00000000}"/>
  </bookViews>
  <sheets>
    <sheet name="Saudya" sheetId="1" r:id="rId1"/>
    <sheet name="Запуск" sheetId="2" r:id="rId2"/>
    <sheet name="Прибыль, окупаемость" sheetId="3" r:id="rId3"/>
    <sheet name="Калькулятор" sheetId="4" r:id="rId4"/>
    <sheet name="Запуск " sheetId="5" r:id="rId5"/>
    <sheet name="Прибыль, окупаемость " sheetId="6" r:id="rId6"/>
    <sheet name="Калькулятор " sheetId="7" r:id="rId7"/>
  </sheets>
  <externalReferences>
    <externalReference r:id="rId8"/>
  </externalReferences>
  <definedNames>
    <definedName name="→" localSheetId="3">#REF!</definedName>
    <definedName name="→" localSheetId="6">#REF!</definedName>
    <definedName name="→" localSheetId="0">#REF!</definedName>
    <definedName name="→">#REF!</definedName>
    <definedName name="Продажи" localSheetId="3">#REF!</definedName>
    <definedName name="Продажи" localSheetId="6">#REF!</definedName>
    <definedName name="Продажи" localSheetId="0">#REF!</definedName>
    <definedName name="Продажи">#REF!</definedName>
    <definedName name="Средний_чек">'Калькулятор '!$D$6555</definedName>
    <definedName name="у">OFFSET([1]Лист1!$A$1,0,0,COUNTA([1]Лист1!$A$1:$A$24),1)</definedName>
    <definedName name="УСН" localSheetId="3">#REF!</definedName>
    <definedName name="УСН" localSheetId="6">#REF!</definedName>
    <definedName name="УСН" localSheetId="0">#REF!</definedName>
    <definedName name="УСН">#REF!</definedName>
  </definedNames>
  <calcPr calcId="181029"/>
  <fileRecoveryPr repairLoad="1"/>
</workbook>
</file>

<file path=xl/calcChain.xml><?xml version="1.0" encoding="utf-8"?>
<calcChain xmlns="http://schemas.openxmlformats.org/spreadsheetml/2006/main">
  <c r="G24" i="5" l="1"/>
  <c r="G24" i="2"/>
  <c r="F24" i="2"/>
  <c r="F43" i="5"/>
  <c r="D18" i="4"/>
  <c r="E18" i="4" s="1"/>
  <c r="D19" i="4"/>
  <c r="D17" i="4" s="1"/>
  <c r="D20" i="4"/>
  <c r="E20" i="4" s="1"/>
  <c r="D21" i="4"/>
  <c r="E21" i="4" s="1"/>
  <c r="E24" i="4"/>
  <c r="E31" i="4"/>
  <c r="D35" i="4"/>
  <c r="E35" i="4" s="1"/>
  <c r="D37" i="4"/>
  <c r="E37" i="4" s="1"/>
  <c r="D41" i="4"/>
  <c r="D33" i="4" s="1"/>
  <c r="E33" i="4" s="1"/>
  <c r="D17" i="7"/>
  <c r="E17" i="7" s="1"/>
  <c r="E18" i="7"/>
  <c r="E19" i="7"/>
  <c r="E20" i="7"/>
  <c r="E21" i="7"/>
  <c r="E22" i="7"/>
  <c r="E24" i="7"/>
  <c r="E31" i="7"/>
  <c r="E35" i="7"/>
  <c r="E37" i="7"/>
  <c r="D41" i="7"/>
  <c r="D26" i="7" s="1"/>
  <c r="D8" i="6"/>
  <c r="D9" i="6" s="1"/>
  <c r="E8" i="6"/>
  <c r="E9" i="6" s="1"/>
  <c r="F8" i="6"/>
  <c r="F9" i="6" s="1"/>
  <c r="D11" i="6"/>
  <c r="D33" i="6"/>
  <c r="D39" i="7" s="1"/>
  <c r="E39" i="7" s="1"/>
  <c r="E33" i="6"/>
  <c r="F33" i="6"/>
  <c r="F10" i="5"/>
  <c r="F11" i="5"/>
  <c r="F13" i="5"/>
  <c r="F14" i="5"/>
  <c r="F15" i="5"/>
  <c r="F16" i="5"/>
  <c r="F17" i="5"/>
  <c r="F18" i="5"/>
  <c r="F20" i="5"/>
  <c r="F21" i="5"/>
  <c r="F23" i="5"/>
  <c r="F24" i="5"/>
  <c r="F25" i="5"/>
  <c r="F26" i="5"/>
  <c r="F27" i="5"/>
  <c r="F28" i="5"/>
  <c r="F29" i="5"/>
  <c r="F31" i="5"/>
  <c r="F32" i="5"/>
  <c r="F33" i="5"/>
  <c r="F34" i="5"/>
  <c r="F35" i="5"/>
  <c r="F36" i="5"/>
  <c r="F37" i="5"/>
  <c r="F39" i="5"/>
  <c r="F40" i="5"/>
  <c r="F41" i="5"/>
  <c r="E43" i="5"/>
  <c r="E11" i="6"/>
  <c r="F44" i="5"/>
  <c r="F45" i="5"/>
  <c r="F46" i="5"/>
  <c r="F47" i="5"/>
  <c r="E65" i="5"/>
  <c r="D8" i="3"/>
  <c r="E8" i="3"/>
  <c r="F8" i="3"/>
  <c r="D9" i="3"/>
  <c r="E9" i="3"/>
  <c r="F9" i="3"/>
  <c r="E11" i="3"/>
  <c r="E17" i="3"/>
  <c r="F18" i="3"/>
  <c r="F17" i="3" s="1"/>
  <c r="D20" i="3"/>
  <c r="D19" i="3" s="1"/>
  <c r="E20" i="3"/>
  <c r="E19" i="3" s="1"/>
  <c r="F20" i="3"/>
  <c r="F19" i="3" s="1"/>
  <c r="D21" i="3"/>
  <c r="E21" i="3"/>
  <c r="F21" i="3"/>
  <c r="D23" i="3"/>
  <c r="E23" i="3"/>
  <c r="F23" i="3"/>
  <c r="D26" i="3"/>
  <c r="D24" i="3" s="1"/>
  <c r="E26" i="3"/>
  <c r="E24" i="3" s="1"/>
  <c r="F26" i="3"/>
  <c r="F24" i="3" s="1"/>
  <c r="D27" i="3"/>
  <c r="E27" i="3"/>
  <c r="F27" i="3"/>
  <c r="D30" i="3"/>
  <c r="D28" i="3" s="1"/>
  <c r="E30" i="3"/>
  <c r="E28" i="3" s="1"/>
  <c r="F30" i="3"/>
  <c r="F28" i="3" s="1"/>
  <c r="D33" i="3"/>
  <c r="E33" i="3"/>
  <c r="F33" i="3"/>
  <c r="F10" i="2"/>
  <c r="F11" i="2"/>
  <c r="F13" i="2"/>
  <c r="F14" i="2"/>
  <c r="F15" i="2"/>
  <c r="F16" i="2"/>
  <c r="D12" i="2" s="1"/>
  <c r="F17" i="2"/>
  <c r="F18" i="2"/>
  <c r="F20" i="2"/>
  <c r="F21" i="2"/>
  <c r="F23" i="2"/>
  <c r="G23" i="2" s="1"/>
  <c r="F25" i="2"/>
  <c r="G25" i="2" s="1"/>
  <c r="F26" i="2"/>
  <c r="F27" i="2"/>
  <c r="F28" i="2"/>
  <c r="F29" i="2"/>
  <c r="F31" i="2"/>
  <c r="F32" i="2"/>
  <c r="F33" i="2"/>
  <c r="F34" i="2"/>
  <c r="F35" i="2"/>
  <c r="F36" i="2"/>
  <c r="F37" i="2"/>
  <c r="F39" i="2"/>
  <c r="F40" i="2"/>
  <c r="F41" i="2"/>
  <c r="E43" i="2"/>
  <c r="F43" i="2" s="1"/>
  <c r="F44" i="2"/>
  <c r="F45" i="2"/>
  <c r="F46" i="2"/>
  <c r="D47" i="2"/>
  <c r="F47" i="2"/>
  <c r="E65" i="2"/>
  <c r="G26" i="5"/>
  <c r="D29" i="7" l="1"/>
  <c r="E29" i="7" s="1"/>
  <c r="E41" i="7"/>
  <c r="D36" i="7"/>
  <c r="D34" i="7" s="1"/>
  <c r="E34" i="7" s="1"/>
  <c r="D27" i="7"/>
  <c r="E27" i="7" s="1"/>
  <c r="E10" i="3"/>
  <c r="D12" i="5"/>
  <c r="F30" i="6"/>
  <c r="F28" i="6" s="1"/>
  <c r="F18" i="6"/>
  <c r="F17" i="6" s="1"/>
  <c r="F23" i="6"/>
  <c r="F20" i="6"/>
  <c r="F26" i="6"/>
  <c r="F21" i="6"/>
  <c r="F27" i="6"/>
  <c r="D38" i="5"/>
  <c r="D22" i="5"/>
  <c r="D42" i="5"/>
  <c r="D30" i="5"/>
  <c r="D19" i="5"/>
  <c r="D9" i="5"/>
  <c r="F11" i="3"/>
  <c r="F10" i="3" s="1"/>
  <c r="D42" i="2"/>
  <c r="D38" i="2"/>
  <c r="D30" i="2"/>
  <c r="D9" i="2"/>
  <c r="D19" i="2"/>
  <c r="D22" i="2"/>
  <c r="D10" i="3"/>
  <c r="E23" i="6"/>
  <c r="E27" i="6"/>
  <c r="E18" i="6"/>
  <c r="E17" i="6" s="1"/>
  <c r="E21" i="6"/>
  <c r="E26" i="6"/>
  <c r="E20" i="6"/>
  <c r="E30" i="6"/>
  <c r="E28" i="6" s="1"/>
  <c r="E26" i="7"/>
  <c r="E17" i="4"/>
  <c r="E34" i="3"/>
  <c r="E35" i="3" s="1"/>
  <c r="E38" i="3" s="1"/>
  <c r="D27" i="6"/>
  <c r="D18" i="6"/>
  <c r="D17" i="6" s="1"/>
  <c r="D21" i="6"/>
  <c r="D26" i="6"/>
  <c r="D30" i="6"/>
  <c r="D28" i="6" s="1"/>
  <c r="D23" i="6"/>
  <c r="D32" i="7"/>
  <c r="D23" i="7"/>
  <c r="E23" i="7" s="1"/>
  <c r="E41" i="4"/>
  <c r="D28" i="4"/>
  <c r="E28" i="4" s="1"/>
  <c r="D26" i="4"/>
  <c r="E19" i="4"/>
  <c r="D39" i="4"/>
  <c r="E39" i="4" s="1"/>
  <c r="D36" i="4"/>
  <c r="D32" i="4"/>
  <c r="D23" i="4"/>
  <c r="F11" i="6"/>
  <c r="D33" i="7"/>
  <c r="E33" i="7" s="1"/>
  <c r="D29" i="4"/>
  <c r="E29" i="4" s="1"/>
  <c r="D27" i="4"/>
  <c r="E27" i="4" s="1"/>
  <c r="D28" i="7"/>
  <c r="E28" i="7" s="1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S8" i="6"/>
  <c r="S9" i="6" s="1"/>
  <c r="R8" i="6"/>
  <c r="R9" i="6" s="1"/>
  <c r="Q8" i="6"/>
  <c r="Q9" i="6" s="1"/>
  <c r="P8" i="6"/>
  <c r="P9" i="6" s="1"/>
  <c r="O8" i="6"/>
  <c r="O9" i="6" s="1"/>
  <c r="N8" i="6"/>
  <c r="N9" i="6" s="1"/>
  <c r="M8" i="6"/>
  <c r="M9" i="6" s="1"/>
  <c r="L8" i="6"/>
  <c r="L9" i="6" s="1"/>
  <c r="K8" i="6"/>
  <c r="K9" i="6" s="1"/>
  <c r="J8" i="6"/>
  <c r="J9" i="6" s="1"/>
  <c r="I8" i="6"/>
  <c r="I9" i="6" s="1"/>
  <c r="H8" i="6"/>
  <c r="H9" i="6" s="1"/>
  <c r="G8" i="6"/>
  <c r="G9" i="6" s="1"/>
  <c r="G47" i="5"/>
  <c r="G46" i="5"/>
  <c r="G44" i="5"/>
  <c r="G41" i="5"/>
  <c r="G37" i="5"/>
  <c r="G36" i="5"/>
  <c r="G35" i="5"/>
  <c r="G32" i="5"/>
  <c r="G29" i="5"/>
  <c r="G40" i="5"/>
  <c r="G39" i="5"/>
  <c r="G21" i="5"/>
  <c r="G17" i="5"/>
  <c r="G16" i="5"/>
  <c r="G14" i="5"/>
  <c r="G45" i="5"/>
  <c r="G11" i="5"/>
  <c r="G9" i="5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R8" i="3"/>
  <c r="R9" i="3" s="1"/>
  <c r="N8" i="3"/>
  <c r="N9" i="3" s="1"/>
  <c r="J8" i="3"/>
  <c r="J9" i="3" s="1"/>
  <c r="H8" i="3"/>
  <c r="H9" i="3" s="1"/>
  <c r="G8" i="3"/>
  <c r="G9" i="3" s="1"/>
  <c r="G47" i="2"/>
  <c r="G46" i="2"/>
  <c r="G44" i="2"/>
  <c r="G41" i="2"/>
  <c r="G37" i="2"/>
  <c r="G36" i="2"/>
  <c r="G35" i="2"/>
  <c r="G32" i="2"/>
  <c r="G29" i="2"/>
  <c r="G40" i="2"/>
  <c r="G26" i="2"/>
  <c r="G21" i="2"/>
  <c r="G20" i="2"/>
  <c r="G17" i="2"/>
  <c r="G16" i="2"/>
  <c r="G14" i="2"/>
  <c r="G11" i="2"/>
  <c r="G10" i="2"/>
  <c r="E36" i="7" l="1"/>
  <c r="F19" i="6"/>
  <c r="D48" i="2"/>
  <c r="D36" i="3" s="1"/>
  <c r="F24" i="6"/>
  <c r="E24" i="6"/>
  <c r="D24" i="6"/>
  <c r="D48" i="5"/>
  <c r="D36" i="6" s="1"/>
  <c r="E19" i="6"/>
  <c r="E10" i="6" s="1"/>
  <c r="D22" i="4"/>
  <c r="E23" i="4"/>
  <c r="D19" i="6"/>
  <c r="D34" i="3"/>
  <c r="D35" i="3" s="1"/>
  <c r="D30" i="4"/>
  <c r="E30" i="4" s="1"/>
  <c r="E32" i="4"/>
  <c r="F34" i="3"/>
  <c r="F35" i="3" s="1"/>
  <c r="F38" i="3" s="1"/>
  <c r="D34" i="4"/>
  <c r="E34" i="4" s="1"/>
  <c r="E36" i="4"/>
  <c r="E26" i="4"/>
  <c r="D25" i="4"/>
  <c r="E25" i="4" s="1"/>
  <c r="D30" i="7"/>
  <c r="E30" i="7" s="1"/>
  <c r="E32" i="7"/>
  <c r="D25" i="7"/>
  <c r="G27" i="5"/>
  <c r="G10" i="5"/>
  <c r="G33" i="5"/>
  <c r="G18" i="5"/>
  <c r="G19" i="2"/>
  <c r="G38" i="2"/>
  <c r="L8" i="3"/>
  <c r="L9" i="3" s="1"/>
  <c r="L23" i="3" s="1"/>
  <c r="P8" i="3"/>
  <c r="P9" i="3" s="1"/>
  <c r="P23" i="3" s="1"/>
  <c r="I8" i="3"/>
  <c r="I9" i="3" s="1"/>
  <c r="I21" i="3" s="1"/>
  <c r="M8" i="3"/>
  <c r="M9" i="3" s="1"/>
  <c r="M21" i="3" s="1"/>
  <c r="Q8" i="3"/>
  <c r="Q9" i="3" s="1"/>
  <c r="Q30" i="3" s="1"/>
  <c r="Q28" i="3" s="1"/>
  <c r="K8" i="3"/>
  <c r="K9" i="3" s="1"/>
  <c r="K27" i="3" s="1"/>
  <c r="O8" i="3"/>
  <c r="O9" i="3" s="1"/>
  <c r="O30" i="3" s="1"/>
  <c r="O28" i="3" s="1"/>
  <c r="S8" i="3"/>
  <c r="S9" i="3" s="1"/>
  <c r="S30" i="3" s="1"/>
  <c r="S28" i="3" s="1"/>
  <c r="H65" i="2"/>
  <c r="G34" i="2"/>
  <c r="J30" i="3"/>
  <c r="J28" i="3" s="1"/>
  <c r="J21" i="3"/>
  <c r="J20" i="3"/>
  <c r="J27" i="3"/>
  <c r="J26" i="3"/>
  <c r="J23" i="3"/>
  <c r="J18" i="3"/>
  <c r="J17" i="3" s="1"/>
  <c r="N30" i="3"/>
  <c r="N28" i="3" s="1"/>
  <c r="N20" i="3"/>
  <c r="N27" i="3"/>
  <c r="N26" i="3"/>
  <c r="N23" i="3"/>
  <c r="N21" i="3"/>
  <c r="N18" i="3"/>
  <c r="N17" i="3" s="1"/>
  <c r="R30" i="3"/>
  <c r="R28" i="3" s="1"/>
  <c r="R21" i="3"/>
  <c r="R23" i="3"/>
  <c r="R27" i="3"/>
  <c r="R26" i="3"/>
  <c r="R20" i="3"/>
  <c r="R18" i="3"/>
  <c r="R17" i="3" s="1"/>
  <c r="H30" i="3"/>
  <c r="H28" i="3" s="1"/>
  <c r="H23" i="3"/>
  <c r="H21" i="3"/>
  <c r="H20" i="3"/>
  <c r="H18" i="3"/>
  <c r="H17" i="3" s="1"/>
  <c r="H27" i="3"/>
  <c r="H26" i="3"/>
  <c r="L27" i="3"/>
  <c r="L21" i="3"/>
  <c r="L20" i="3"/>
  <c r="Q26" i="3"/>
  <c r="Q23" i="3"/>
  <c r="Q20" i="3"/>
  <c r="Q18" i="3"/>
  <c r="Q17" i="3" s="1"/>
  <c r="G39" i="2"/>
  <c r="G27" i="2"/>
  <c r="G30" i="3"/>
  <c r="G28" i="3" s="1"/>
  <c r="G27" i="3"/>
  <c r="G26" i="3"/>
  <c r="G23" i="3"/>
  <c r="G21" i="3"/>
  <c r="G20" i="3"/>
  <c r="G18" i="3"/>
  <c r="G17" i="3" s="1"/>
  <c r="K26" i="3"/>
  <c r="K18" i="3"/>
  <c r="K17" i="3" s="1"/>
  <c r="K30" i="6"/>
  <c r="K28" i="6" s="1"/>
  <c r="K27" i="6"/>
  <c r="K26" i="6"/>
  <c r="K23" i="6"/>
  <c r="K21" i="6"/>
  <c r="K20" i="6"/>
  <c r="K18" i="6"/>
  <c r="K17" i="6" s="1"/>
  <c r="S30" i="6"/>
  <c r="S28" i="6" s="1"/>
  <c r="S27" i="6"/>
  <c r="S26" i="6"/>
  <c r="S23" i="6"/>
  <c r="S21" i="6"/>
  <c r="S20" i="6"/>
  <c r="S18" i="6"/>
  <c r="S17" i="6" s="1"/>
  <c r="Q30" i="6"/>
  <c r="Q28" i="6" s="1"/>
  <c r="Q27" i="6"/>
  <c r="Q26" i="6"/>
  <c r="Q23" i="6"/>
  <c r="Q21" i="6"/>
  <c r="Q20" i="6"/>
  <c r="Q18" i="6"/>
  <c r="Q17" i="6" s="1"/>
  <c r="G9" i="2"/>
  <c r="G33" i="2"/>
  <c r="G30" i="6"/>
  <c r="G28" i="6" s="1"/>
  <c r="G27" i="6"/>
  <c r="G26" i="6"/>
  <c r="G23" i="6"/>
  <c r="G21" i="6"/>
  <c r="G20" i="6"/>
  <c r="G18" i="6"/>
  <c r="G17" i="6" s="1"/>
  <c r="G18" i="2"/>
  <c r="G45" i="2"/>
  <c r="G20" i="5"/>
  <c r="G19" i="5"/>
  <c r="M30" i="6"/>
  <c r="M28" i="6" s="1"/>
  <c r="M27" i="6"/>
  <c r="M26" i="6"/>
  <c r="M23" i="6"/>
  <c r="M21" i="6"/>
  <c r="M20" i="6"/>
  <c r="M18" i="6"/>
  <c r="M17" i="6" s="1"/>
  <c r="I30" i="6"/>
  <c r="I28" i="6" s="1"/>
  <c r="I27" i="6"/>
  <c r="I26" i="6"/>
  <c r="I23" i="6"/>
  <c r="I21" i="6"/>
  <c r="I20" i="6"/>
  <c r="I18" i="6"/>
  <c r="I17" i="6" s="1"/>
  <c r="G15" i="2"/>
  <c r="G31" i="2"/>
  <c r="G28" i="2"/>
  <c r="G31" i="5"/>
  <c r="O30" i="6"/>
  <c r="O28" i="6" s="1"/>
  <c r="O27" i="6"/>
  <c r="O26" i="6"/>
  <c r="O23" i="6"/>
  <c r="O21" i="6"/>
  <c r="O20" i="6"/>
  <c r="O18" i="6"/>
  <c r="O17" i="6" s="1"/>
  <c r="J30" i="6"/>
  <c r="J28" i="6" s="1"/>
  <c r="J27" i="6"/>
  <c r="J26" i="6"/>
  <c r="J23" i="6"/>
  <c r="J21" i="6"/>
  <c r="J20" i="6"/>
  <c r="J18" i="6"/>
  <c r="J17" i="6" s="1"/>
  <c r="N30" i="6"/>
  <c r="N28" i="6" s="1"/>
  <c r="N27" i="6"/>
  <c r="N26" i="6"/>
  <c r="N23" i="6"/>
  <c r="N21" i="6"/>
  <c r="N20" i="6"/>
  <c r="N18" i="6"/>
  <c r="N17" i="6" s="1"/>
  <c r="R30" i="6"/>
  <c r="R28" i="6" s="1"/>
  <c r="R27" i="6"/>
  <c r="R26" i="6"/>
  <c r="R23" i="6"/>
  <c r="R21" i="6"/>
  <c r="R20" i="6"/>
  <c r="R18" i="6"/>
  <c r="R17" i="6" s="1"/>
  <c r="H18" i="6"/>
  <c r="H17" i="6" s="1"/>
  <c r="H20" i="6"/>
  <c r="H21" i="6"/>
  <c r="H23" i="6"/>
  <c r="H26" i="6"/>
  <c r="H27" i="6"/>
  <c r="H30" i="6"/>
  <c r="H28" i="6" s="1"/>
  <c r="H65" i="5"/>
  <c r="G15" i="5"/>
  <c r="G34" i="5"/>
  <c r="G38" i="5"/>
  <c r="G28" i="5"/>
  <c r="L18" i="6"/>
  <c r="L17" i="6" s="1"/>
  <c r="L20" i="6"/>
  <c r="L21" i="6"/>
  <c r="L23" i="6"/>
  <c r="L26" i="6"/>
  <c r="L27" i="6"/>
  <c r="L30" i="6"/>
  <c r="L28" i="6" s="1"/>
  <c r="P18" i="6"/>
  <c r="P17" i="6" s="1"/>
  <c r="P20" i="6"/>
  <c r="P21" i="6"/>
  <c r="P23" i="6"/>
  <c r="P26" i="6"/>
  <c r="P27" i="6"/>
  <c r="P30" i="6"/>
  <c r="P28" i="6" s="1"/>
  <c r="F10" i="6" l="1"/>
  <c r="F34" i="6" s="1"/>
  <c r="F35" i="6" s="1"/>
  <c r="D10" i="6"/>
  <c r="D34" i="6" s="1"/>
  <c r="D35" i="6" s="1"/>
  <c r="E34" i="6"/>
  <c r="E35" i="6" s="1"/>
  <c r="I30" i="3"/>
  <c r="I28" i="3" s="1"/>
  <c r="D16" i="7"/>
  <c r="E25" i="7"/>
  <c r="D38" i="3"/>
  <c r="D37" i="3"/>
  <c r="H24" i="6"/>
  <c r="L26" i="3"/>
  <c r="E22" i="4"/>
  <c r="D16" i="4"/>
  <c r="Q21" i="3"/>
  <c r="Q27" i="3"/>
  <c r="L30" i="3"/>
  <c r="L28" i="3" s="1"/>
  <c r="L18" i="3"/>
  <c r="L17" i="3" s="1"/>
  <c r="K20" i="3"/>
  <c r="K30" i="3"/>
  <c r="K28" i="3" s="1"/>
  <c r="K23" i="3"/>
  <c r="P24" i="6"/>
  <c r="N24" i="6"/>
  <c r="G24" i="6"/>
  <c r="G30" i="5"/>
  <c r="Q24" i="6"/>
  <c r="N19" i="6"/>
  <c r="K24" i="6"/>
  <c r="I24" i="6"/>
  <c r="H19" i="6"/>
  <c r="G19" i="6"/>
  <c r="S18" i="3"/>
  <c r="S17" i="3" s="1"/>
  <c r="P30" i="3"/>
  <c r="P28" i="3" s="1"/>
  <c r="P20" i="3"/>
  <c r="P26" i="3"/>
  <c r="P21" i="3"/>
  <c r="P27" i="3"/>
  <c r="P18" i="3"/>
  <c r="P17" i="3" s="1"/>
  <c r="O23" i="3"/>
  <c r="O26" i="3"/>
  <c r="M27" i="3"/>
  <c r="K21" i="3"/>
  <c r="S23" i="3"/>
  <c r="O18" i="3"/>
  <c r="O17" i="3" s="1"/>
  <c r="I27" i="3"/>
  <c r="O20" i="3"/>
  <c r="I18" i="3"/>
  <c r="I17" i="3" s="1"/>
  <c r="S26" i="3"/>
  <c r="M18" i="3"/>
  <c r="M17" i="3" s="1"/>
  <c r="S21" i="3"/>
  <c r="S27" i="3"/>
  <c r="O21" i="3"/>
  <c r="O27" i="3"/>
  <c r="M23" i="3"/>
  <c r="M20" i="3"/>
  <c r="I23" i="3"/>
  <c r="I20" i="3"/>
  <c r="S20" i="3"/>
  <c r="M30" i="3"/>
  <c r="M28" i="3" s="1"/>
  <c r="M26" i="3"/>
  <c r="I26" i="3"/>
  <c r="G22" i="2"/>
  <c r="H24" i="3"/>
  <c r="R24" i="3"/>
  <c r="J24" i="3"/>
  <c r="G24" i="3"/>
  <c r="L24" i="3"/>
  <c r="N24" i="3"/>
  <c r="J19" i="3"/>
  <c r="L24" i="6"/>
  <c r="P19" i="6"/>
  <c r="G25" i="5"/>
  <c r="M19" i="6"/>
  <c r="M24" i="6"/>
  <c r="S19" i="6"/>
  <c r="S24" i="6"/>
  <c r="K19" i="3"/>
  <c r="K24" i="3"/>
  <c r="L19" i="3"/>
  <c r="N19" i="3"/>
  <c r="H19" i="3"/>
  <c r="R19" i="3"/>
  <c r="G13" i="5"/>
  <c r="G12" i="5"/>
  <c r="L19" i="6"/>
  <c r="G13" i="2"/>
  <c r="G12" i="2"/>
  <c r="Q11" i="3"/>
  <c r="M11" i="3"/>
  <c r="I11" i="3"/>
  <c r="G43" i="2"/>
  <c r="P11" i="3"/>
  <c r="L11" i="3"/>
  <c r="H11" i="3"/>
  <c r="S11" i="3"/>
  <c r="O11" i="3"/>
  <c r="K11" i="3"/>
  <c r="G11" i="3"/>
  <c r="R11" i="3"/>
  <c r="N11" i="3"/>
  <c r="J11" i="3"/>
  <c r="Q19" i="6"/>
  <c r="K19" i="6"/>
  <c r="G19" i="3"/>
  <c r="I19" i="6"/>
  <c r="S11" i="6"/>
  <c r="O11" i="6"/>
  <c r="K11" i="6"/>
  <c r="G11" i="6"/>
  <c r="Q11" i="6"/>
  <c r="M11" i="6"/>
  <c r="I11" i="6"/>
  <c r="R11" i="6"/>
  <c r="J11" i="6"/>
  <c r="G43" i="5"/>
  <c r="N11" i="6"/>
  <c r="P11" i="6"/>
  <c r="L11" i="6"/>
  <c r="H11" i="6"/>
  <c r="R19" i="6"/>
  <c r="R24" i="6"/>
  <c r="J19" i="6"/>
  <c r="J24" i="6"/>
  <c r="O19" i="6"/>
  <c r="O24" i="6"/>
  <c r="G30" i="2"/>
  <c r="Q19" i="3"/>
  <c r="Q24" i="3"/>
  <c r="H10" i="6" l="1"/>
  <c r="P10" i="6"/>
  <c r="P34" i="6" s="1"/>
  <c r="P35" i="6" s="1"/>
  <c r="N10" i="6"/>
  <c r="E38" i="6"/>
  <c r="F38" i="6"/>
  <c r="E16" i="4"/>
  <c r="D40" i="4"/>
  <c r="E40" i="4" s="1"/>
  <c r="D38" i="6"/>
  <c r="D37" i="6"/>
  <c r="E16" i="7"/>
  <c r="D40" i="7"/>
  <c r="E40" i="7" s="1"/>
  <c r="E37" i="3"/>
  <c r="D39" i="3"/>
  <c r="P24" i="3"/>
  <c r="G10" i="6"/>
  <c r="G34" i="6" s="1"/>
  <c r="G35" i="6" s="1"/>
  <c r="K10" i="6"/>
  <c r="K34" i="6" s="1"/>
  <c r="K35" i="6" s="1"/>
  <c r="R10" i="6"/>
  <c r="R34" i="6" s="1"/>
  <c r="R35" i="6" s="1"/>
  <c r="J10" i="6"/>
  <c r="J34" i="6" s="1"/>
  <c r="J35" i="6" s="1"/>
  <c r="O10" i="6"/>
  <c r="O34" i="6" s="1"/>
  <c r="O35" i="6" s="1"/>
  <c r="M10" i="6"/>
  <c r="M34" i="6" s="1"/>
  <c r="M35" i="6" s="1"/>
  <c r="I10" i="6"/>
  <c r="I34" i="6" s="1"/>
  <c r="I35" i="6" s="1"/>
  <c r="Q10" i="6"/>
  <c r="S10" i="6"/>
  <c r="S34" i="6" s="1"/>
  <c r="L10" i="6"/>
  <c r="L34" i="6" s="1"/>
  <c r="L35" i="6" s="1"/>
  <c r="M19" i="3"/>
  <c r="O24" i="3"/>
  <c r="S24" i="3"/>
  <c r="S19" i="3"/>
  <c r="P19" i="3"/>
  <c r="P10" i="3" s="1"/>
  <c r="P34" i="3" s="1"/>
  <c r="P35" i="3" s="1"/>
  <c r="O19" i="3"/>
  <c r="O10" i="3" s="1"/>
  <c r="O34" i="3" s="1"/>
  <c r="O35" i="3" s="1"/>
  <c r="M24" i="3"/>
  <c r="I19" i="3"/>
  <c r="I10" i="3" s="1"/>
  <c r="I34" i="3" s="1"/>
  <c r="I35" i="3" s="1"/>
  <c r="I24" i="3"/>
  <c r="G10" i="3"/>
  <c r="G34" i="3" s="1"/>
  <c r="G35" i="3" s="1"/>
  <c r="J10" i="3"/>
  <c r="J34" i="3" s="1"/>
  <c r="J35" i="3" s="1"/>
  <c r="R10" i="3"/>
  <c r="R34" i="3" s="1"/>
  <c r="R35" i="3" s="1"/>
  <c r="Q10" i="3"/>
  <c r="Q34" i="3" s="1"/>
  <c r="Q35" i="3" s="1"/>
  <c r="N10" i="3"/>
  <c r="N34" i="3" s="1"/>
  <c r="N35" i="3" s="1"/>
  <c r="H10" i="3"/>
  <c r="H34" i="3" s="1"/>
  <c r="H35" i="3" s="1"/>
  <c r="L10" i="3"/>
  <c r="L34" i="3" s="1"/>
  <c r="L35" i="3" s="1"/>
  <c r="K10" i="3"/>
  <c r="K34" i="3" s="1"/>
  <c r="K35" i="3" s="1"/>
  <c r="G42" i="5"/>
  <c r="H34" i="6"/>
  <c r="H35" i="6" s="1"/>
  <c r="N34" i="6"/>
  <c r="N35" i="6" s="1"/>
  <c r="G42" i="2"/>
  <c r="G22" i="5"/>
  <c r="G23" i="5"/>
  <c r="S10" i="3" l="1"/>
  <c r="S34" i="3" s="1"/>
  <c r="S35" i="3" s="1"/>
  <c r="D42" i="4"/>
  <c r="E42" i="4" s="1"/>
  <c r="E39" i="3"/>
  <c r="F37" i="3"/>
  <c r="F39" i="3" s="1"/>
  <c r="E37" i="6"/>
  <c r="D39" i="6"/>
  <c r="D42" i="7"/>
  <c r="E42" i="7" s="1"/>
  <c r="M10" i="3"/>
  <c r="M34" i="3" s="1"/>
  <c r="M35" i="3" s="1"/>
  <c r="N38" i="3" s="1"/>
  <c r="I38" i="6"/>
  <c r="L38" i="6"/>
  <c r="H38" i="6"/>
  <c r="K38" i="6"/>
  <c r="S35" i="6"/>
  <c r="Q34" i="6"/>
  <c r="Q35" i="6" s="1"/>
  <c r="D42" i="6" s="1"/>
  <c r="J38" i="3"/>
  <c r="L38" i="3"/>
  <c r="I38" i="3"/>
  <c r="M38" i="6"/>
  <c r="H38" i="3"/>
  <c r="G38" i="6"/>
  <c r="K38" i="3"/>
  <c r="J38" i="6"/>
  <c r="G38" i="3"/>
  <c r="N38" i="6"/>
  <c r="G48" i="2"/>
  <c r="D44" i="6" l="1"/>
  <c r="F37" i="6"/>
  <c r="F39" i="6" s="1"/>
  <c r="E39" i="6"/>
  <c r="M38" i="3"/>
  <c r="D44" i="3" s="1"/>
  <c r="D42" i="3"/>
  <c r="I42" i="3" s="1"/>
  <c r="I42" i="6"/>
  <c r="G48" i="5"/>
  <c r="I44" i="6" l="1"/>
  <c r="I44" i="3"/>
  <c r="G37" i="6" l="1"/>
  <c r="G37" i="3"/>
  <c r="G39" i="3" l="1"/>
  <c r="H37" i="3"/>
  <c r="G39" i="6"/>
  <c r="H37" i="6"/>
  <c r="H39" i="6" l="1"/>
  <c r="I37" i="6"/>
  <c r="I37" i="3"/>
  <c r="H39" i="3"/>
  <c r="J37" i="6" l="1"/>
  <c r="I39" i="6"/>
  <c r="J37" i="3"/>
  <c r="I39" i="3"/>
  <c r="J39" i="3" l="1"/>
  <c r="K37" i="3"/>
  <c r="K37" i="6"/>
  <c r="J39" i="6"/>
  <c r="K39" i="6" l="1"/>
  <c r="L37" i="6"/>
  <c r="K39" i="3"/>
  <c r="L37" i="3"/>
  <c r="L39" i="3" l="1"/>
  <c r="M37" i="3"/>
  <c r="M37" i="6"/>
  <c r="L39" i="6"/>
  <c r="N37" i="6" l="1"/>
  <c r="M39" i="6"/>
  <c r="N37" i="3"/>
  <c r="M39" i="3"/>
  <c r="N39" i="3" l="1"/>
  <c r="O37" i="3"/>
  <c r="N39" i="6"/>
  <c r="O37" i="6"/>
  <c r="O39" i="3" l="1"/>
  <c r="P37" i="3"/>
  <c r="O39" i="6"/>
  <c r="P37" i="6"/>
  <c r="P39" i="3" l="1"/>
  <c r="Q37" i="3"/>
  <c r="P39" i="6"/>
  <c r="Q37" i="6"/>
  <c r="Q39" i="3" l="1"/>
  <c r="R37" i="3"/>
  <c r="R37" i="6"/>
  <c r="Q39" i="6"/>
  <c r="R39" i="3" l="1"/>
  <c r="S37" i="3"/>
  <c r="S39" i="3" s="1"/>
  <c r="S37" i="6"/>
  <c r="S39" i="6" s="1"/>
  <c r="R39" i="6"/>
  <c r="D46" i="3" l="1"/>
  <c r="I46" i="3" s="1"/>
  <c r="D46" i="6"/>
  <c r="I46" i="6" s="1"/>
</calcChain>
</file>

<file path=xl/sharedStrings.xml><?xml version="1.0" encoding="utf-8"?>
<sst xmlns="http://schemas.openxmlformats.org/spreadsheetml/2006/main" count="254" uniqueCount="115">
  <si>
    <t xml:space="preserve">Статьи затрат </t>
  </si>
  <si>
    <t>кол-во
 (кв.м.)</t>
  </si>
  <si>
    <t>итого
(валюта)</t>
  </si>
  <si>
    <t>1.Подготовка - юридическое оформление</t>
  </si>
  <si>
    <t>Гос. Пошлина за регистрацию договора аренды</t>
  </si>
  <si>
    <t>Регистрация юр лица и открытие р/с ( бесплатно при открытии счета в банке)</t>
  </si>
  <si>
    <t>2.Строительно монтажные работы</t>
  </si>
  <si>
    <t xml:space="preserve">Ремонт помещения включая стройматериалы, цена за 1 кв.м. </t>
  </si>
  <si>
    <t>Проектирование инженерных систем</t>
  </si>
  <si>
    <t xml:space="preserve">Дизайн проект </t>
  </si>
  <si>
    <t xml:space="preserve">Пожарная система </t>
  </si>
  <si>
    <t>Вывеска</t>
  </si>
  <si>
    <t>Вытяжка+ монтаж (+ проект)</t>
  </si>
  <si>
    <t>3.Подключение ERP</t>
  </si>
  <si>
    <t>Ноутбук, денежный ящик, фискальный принтер, принтер</t>
  </si>
  <si>
    <t>Кассовое оборудование</t>
  </si>
  <si>
    <t>4.Зал и интерьер в том числе:</t>
  </si>
  <si>
    <t>Диваны</t>
  </si>
  <si>
    <t>Столы</t>
  </si>
  <si>
    <t>Телевизоры</t>
  </si>
  <si>
    <t>Декор интерьера</t>
  </si>
  <si>
    <t>Барная стойка</t>
  </si>
  <si>
    <t>Свет</t>
  </si>
  <si>
    <t>5. Бар, в том числе:</t>
  </si>
  <si>
    <t xml:space="preserve">Посуда </t>
  </si>
  <si>
    <t>Табак, уголь</t>
  </si>
  <si>
    <t>Кальяны</t>
  </si>
  <si>
    <t>Бар и продукция ( чай зеленый, черный, фруктовый, снеки, coca-cola и т.п.)</t>
  </si>
  <si>
    <t>Инвентарь для персонала</t>
  </si>
  <si>
    <t>Ледогенератор,чайник, блендер, холодильник.</t>
  </si>
  <si>
    <t>6, Прочие оборудование</t>
  </si>
  <si>
    <t>Видеонаблюдение</t>
  </si>
  <si>
    <t>Акустика</t>
  </si>
  <si>
    <t xml:space="preserve">Комплект формы доя персонала </t>
  </si>
  <si>
    <t>7.Прочие, в том числе:</t>
  </si>
  <si>
    <t>Аренда ( включая обеспечительный платеж)</t>
  </si>
  <si>
    <t>Рекламная компания на запуск</t>
  </si>
  <si>
    <t>Уборка</t>
  </si>
  <si>
    <t>Прочие расходы</t>
  </si>
  <si>
    <t>Паушальный взнос</t>
  </si>
  <si>
    <t>ИТОГО НА ЗАПУСК</t>
  </si>
  <si>
    <t xml:space="preserve">ПРИБЫЛЬ, ОКУПАЕМОСТЬ В РЕГИОНАХ И СНГ </t>
  </si>
  <si>
    <t>МЕСЯЦ</t>
  </si>
  <si>
    <t xml:space="preserve">Количество столов в день </t>
  </si>
  <si>
    <t xml:space="preserve">Средний чек </t>
  </si>
  <si>
    <t>Выручка в день</t>
  </si>
  <si>
    <t>1.Выручка за месяц</t>
  </si>
  <si>
    <t>Постоянные затраты, в том числе:</t>
  </si>
  <si>
    <t>2. Помещение</t>
  </si>
  <si>
    <t>Аренда</t>
  </si>
  <si>
    <t>коммунальные услуги</t>
  </si>
  <si>
    <t>Вывоз ТБО</t>
  </si>
  <si>
    <t>Интернет</t>
  </si>
  <si>
    <t>Текущий ремонт</t>
  </si>
  <si>
    <t>3. Персонал</t>
  </si>
  <si>
    <t>ФОТ Кальяные мастера, бармен-официант, убощица</t>
  </si>
  <si>
    <t>DJ</t>
  </si>
  <si>
    <t>4. Продукция</t>
  </si>
  <si>
    <t>Посуда (салфетки, мундштуки, сахар, снеки и т.д.)</t>
  </si>
  <si>
    <t>Закупы в бары(напитки, сендвичи и т.д.)</t>
  </si>
  <si>
    <t>Хоз. Расходы</t>
  </si>
  <si>
    <t>5. Маркетинг</t>
  </si>
  <si>
    <t>Маркетинг ( работа + бюджет)</t>
  </si>
  <si>
    <t>Маркетинговый сбор 1%</t>
  </si>
  <si>
    <t xml:space="preserve">Роялти 4% </t>
  </si>
  <si>
    <t>6. Обслуживание</t>
  </si>
  <si>
    <t>Система учёта (средняя стоимость)</t>
  </si>
  <si>
    <t>Обслуживание банковсого счёта + экваринг(1.85%)</t>
  </si>
  <si>
    <t>Бухгалтерия</t>
  </si>
  <si>
    <t>7. Налоги</t>
  </si>
  <si>
    <t>Налоги ( сотрудники)</t>
  </si>
  <si>
    <t xml:space="preserve">Налоги(доход-расход)+ страх взносы </t>
  </si>
  <si>
    <t>8.Прибыль</t>
  </si>
  <si>
    <t>Инвестиционные затраты</t>
  </si>
  <si>
    <t xml:space="preserve"> </t>
  </si>
  <si>
    <t xml:space="preserve">Окупаемость </t>
  </si>
  <si>
    <t>ТОЧКА БЕЗУБЫТОЧНОСТИ</t>
  </si>
  <si>
    <t xml:space="preserve">МЕСЯЦ ОКУПАЕМОСТИ </t>
  </si>
  <si>
    <t>РЕЗУЛЬТАТ</t>
  </si>
  <si>
    <t>Средняя чистая прибыль, руб./мес.</t>
  </si>
  <si>
    <t>Средняя чистая прибыль, валюта./мес.</t>
  </si>
  <si>
    <t>Точка безубыточности, мес.</t>
  </si>
  <si>
    <t>Период окупаемости, мес.</t>
  </si>
  <si>
    <t>Средний чек</t>
  </si>
  <si>
    <t>Выберите</t>
  </si>
  <si>
    <t>Статьи</t>
  </si>
  <si>
    <t>Месяц
(валюта)</t>
  </si>
  <si>
    <t>1.Постоянные затраты, в том числе:</t>
  </si>
  <si>
    <t xml:space="preserve">2. Помещение </t>
  </si>
  <si>
    <t>Маркетинговый сбор 0,8%</t>
  </si>
  <si>
    <t>Налоги(доход-расход)</t>
  </si>
  <si>
    <t>Выручка</t>
  </si>
  <si>
    <t xml:space="preserve">8.Прибыль </t>
  </si>
  <si>
    <t>Коммунальные услуги</t>
  </si>
  <si>
    <t>ФОТ Кальяные мастера, бармен-официант, уборщица</t>
  </si>
  <si>
    <t>ЗАПУСК</t>
  </si>
  <si>
    <t>Цена за квм</t>
  </si>
  <si>
    <t>за ед. 
(тнг.)</t>
  </si>
  <si>
    <t>итого
(тнг.)</t>
  </si>
  <si>
    <t xml:space="preserve">ФОТ </t>
  </si>
  <si>
    <t>ПРИБЫЛЬ, ОКУПАЕМОСТЬ</t>
  </si>
  <si>
    <t xml:space="preserve">                         КАЛЬКУЛЯТОР
                         ПРИБЫЛИ </t>
  </si>
  <si>
    <t>Месяц
(тнг)</t>
  </si>
  <si>
    <t xml:space="preserve">менеджер ресторана </t>
  </si>
  <si>
    <t>День
(тнг)</t>
  </si>
  <si>
    <t>Закупы в бары и кухня)</t>
  </si>
  <si>
    <t>Средняя чистая прибыль, тнг./мес.</t>
  </si>
  <si>
    <t xml:space="preserve">ЗАПУСК </t>
  </si>
  <si>
    <t xml:space="preserve">Печь тандыр </t>
  </si>
  <si>
    <t>Печь тандыр</t>
  </si>
  <si>
    <t>стуля</t>
  </si>
  <si>
    <t>Закупы в бары кухня</t>
  </si>
  <si>
    <t>cтуля</t>
  </si>
  <si>
    <t>цена за кв м</t>
  </si>
  <si>
    <t>Закупы в бары и кухня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</si>
</sst>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_р_._-;\-* #,##0.00_р_._-;_-* \-??_р_._-;_-@_-"/>
    <numFmt numFmtId="166" formatCode="_-* #,##0_р_._-;\-* #,##0_р_._-;_-* &quot;-&quot;??_р_._-;_-@_-"/>
  </numFmts>
  <fonts count="41">
    <font>
      <sz val="11"/>
      <color indexed="64"/>
      <name val="Calibri"/>
    </font>
    <font>
      <sz val="11"/>
      <color theme="1"/>
      <name val="Calibri"/>
      <family val="2"/>
      <scheme val="minor"/>
    </font>
    <font>
      <b/>
      <sz val="22"/>
      <color rgb="FF30383B"/>
      <name val="Arial"/>
      <family val="2"/>
    </font>
    <font>
      <sz val="22"/>
      <color rgb="FF033B58"/>
      <name val="Arial Black"/>
      <family val="2"/>
    </font>
    <font>
      <sz val="22"/>
      <color rgb="FF124747"/>
      <name val="Arial Black"/>
      <family val="2"/>
    </font>
    <font>
      <b/>
      <sz val="16"/>
      <color theme="0"/>
      <name val="Segoe UI"/>
    </font>
    <font>
      <b/>
      <sz val="22"/>
      <color rgb="FF13BE80"/>
      <name val="Segoe UI"/>
    </font>
    <font>
      <sz val="16"/>
      <color rgb="FFFF664D"/>
      <name val="Arial Black"/>
      <family val="2"/>
    </font>
    <font>
      <sz val="16"/>
      <color rgb="FF124747"/>
      <name val="Arial Black"/>
      <family val="2"/>
    </font>
    <font>
      <sz val="22"/>
      <color rgb="FFC00000"/>
      <name val="Arial Black"/>
      <family val="2"/>
    </font>
    <font>
      <b/>
      <sz val="14"/>
      <color rgb="FF30383B"/>
      <name val="Segoe UI"/>
    </font>
    <font>
      <sz val="10"/>
      <color rgb="FF033B58"/>
      <name val="Arial Black"/>
      <family val="2"/>
    </font>
    <font>
      <b/>
      <sz val="12"/>
      <color indexed="64"/>
      <name val="Segoe UI"/>
    </font>
    <font>
      <b/>
      <sz val="11"/>
      <color indexed="64"/>
      <name val="Arial"/>
      <family val="2"/>
    </font>
    <font>
      <sz val="12"/>
      <color indexed="64"/>
      <name val="Segoe UI"/>
    </font>
    <font>
      <sz val="12"/>
      <color theme="1"/>
      <name val="Segoe UI"/>
    </font>
    <font>
      <sz val="11"/>
      <color indexed="64"/>
      <name val="Arial"/>
      <family val="2"/>
    </font>
    <font>
      <b/>
      <sz val="11"/>
      <color rgb="FF033B58"/>
      <name val="Arial Black"/>
      <family val="2"/>
    </font>
    <font>
      <b/>
      <sz val="12"/>
      <color theme="0" tint="-4.9989318521683403E-2"/>
      <name val="Segoe UI"/>
    </font>
    <font>
      <sz val="11"/>
      <color indexed="64"/>
      <name val="Segoe UI"/>
    </font>
    <font>
      <b/>
      <sz val="22"/>
      <color rgb="FF30383B"/>
      <name val="Segoe UI"/>
    </font>
    <font>
      <sz val="22"/>
      <color rgb="FF033B58"/>
      <name val="Segoe UI"/>
    </font>
    <font>
      <sz val="9"/>
      <color rgb="FF033B58"/>
      <name val="Segoe UI"/>
    </font>
    <font>
      <b/>
      <sz val="12"/>
      <color rgb="FF30383B"/>
      <name val="Segoe UI"/>
    </font>
    <font>
      <b/>
      <sz val="11"/>
      <color indexed="64"/>
      <name val="Segoe UI"/>
    </font>
    <font>
      <sz val="11"/>
      <color rgb="FF361B00"/>
      <name val="Segoe UI"/>
    </font>
    <font>
      <b/>
      <sz val="11"/>
      <color rgb="FF361B00"/>
      <name val="Segoe UI"/>
    </font>
    <font>
      <b/>
      <sz val="11"/>
      <name val="Segoe UI"/>
    </font>
    <font>
      <b/>
      <sz val="12"/>
      <name val="Segoe UI"/>
    </font>
    <font>
      <i/>
      <sz val="12"/>
      <name val="Segoe UI"/>
    </font>
    <font>
      <b/>
      <i/>
      <sz val="12"/>
      <color theme="1"/>
      <name val="Segoe UI"/>
    </font>
    <font>
      <b/>
      <sz val="12"/>
      <color theme="1"/>
      <name val="Segoe UI"/>
    </font>
    <font>
      <b/>
      <sz val="10"/>
      <color rgb="FFC00000"/>
      <name val="Segoe UI"/>
    </font>
    <font>
      <b/>
      <sz val="16"/>
      <color rgb="FFC00000"/>
      <name val="Segoe UI"/>
    </font>
    <font>
      <b/>
      <sz val="11"/>
      <color rgb="FF30383B"/>
      <name val="Segoe UI"/>
    </font>
    <font>
      <b/>
      <sz val="11"/>
      <color theme="1"/>
      <name val="Segoe UI"/>
    </font>
    <font>
      <sz val="24"/>
      <color rgb="FF033B58"/>
      <name val="Segoe UI"/>
    </font>
    <font>
      <b/>
      <sz val="22"/>
      <color rgb="FF124747"/>
      <name val="Segoe UI"/>
    </font>
    <font>
      <sz val="12"/>
      <color rgb="FF033B58"/>
      <name val="Segoe UI"/>
    </font>
    <font>
      <b/>
      <sz val="22"/>
      <color rgb="FFFF664D"/>
      <name val="Segoe UI"/>
    </font>
    <font>
      <sz val="11"/>
      <color indexed="64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theme="0"/>
      </patternFill>
    </fill>
    <fill>
      <patternFill patternType="solid">
        <fgColor rgb="FF13BE80"/>
        <bgColor rgb="FF13BE8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rgb="FFDAEEF3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/>
        <bgColor rgb="FFDAEEF3"/>
      </patternFill>
    </fill>
    <fill>
      <patternFill patternType="solid">
        <fgColor theme="0" tint="-0.14999847407452621"/>
        <bgColor indexed="5"/>
      </patternFill>
    </fill>
    <fill>
      <patternFill patternType="solid">
        <fgColor theme="0"/>
        <bgColor indexed="5"/>
      </patternFill>
    </fill>
    <fill>
      <patternFill patternType="solid">
        <fgColor theme="0"/>
        <bgColor rgb="FFDBE5F1"/>
      </patternFill>
    </fill>
    <fill>
      <patternFill patternType="solid">
        <fgColor theme="2" tint="-0.249977111117893"/>
        <bgColor theme="2" tint="-0.249977111117893"/>
      </patternFill>
    </fill>
  </fills>
  <borders count="63">
    <border>
      <left/>
      <right/>
      <top/>
      <bottom/>
      <diagonal/>
    </border>
    <border>
      <left style="medium">
        <color rgb="FF12BDAB"/>
      </left>
      <right/>
      <top style="medium">
        <color rgb="FF12BDAB"/>
      </top>
      <bottom/>
      <diagonal/>
    </border>
    <border>
      <left/>
      <right/>
      <top style="medium">
        <color rgb="FF12BDAB"/>
      </top>
      <bottom/>
      <diagonal/>
    </border>
    <border>
      <left/>
      <right style="medium">
        <color rgb="FF12BDAB"/>
      </right>
      <top style="medium">
        <color rgb="FF12BDAB"/>
      </top>
      <bottom/>
      <diagonal/>
    </border>
    <border>
      <left style="medium">
        <color rgb="FF12BDAB"/>
      </left>
      <right/>
      <top/>
      <bottom/>
      <diagonal/>
    </border>
    <border>
      <left/>
      <right style="medium">
        <color rgb="FF12BDAB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12BDAB"/>
      </left>
      <right/>
      <top/>
      <bottom style="thin">
        <color theme="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rgb="FF30383B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rgb="FF30383B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rgb="FF30383B"/>
      </bottom>
      <diagonal/>
    </border>
    <border>
      <left/>
      <right style="medium">
        <color auto="1"/>
      </right>
      <top style="medium">
        <color auto="1"/>
      </top>
      <bottom style="medium">
        <color rgb="FF30383B"/>
      </bottom>
      <diagonal/>
    </border>
    <border>
      <left/>
      <right style="medium">
        <color rgb="FF12BDAB"/>
      </right>
      <top style="thin">
        <color theme="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rgb="FF30383B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12BDAB"/>
      </left>
      <right/>
      <top/>
      <bottom style="medium">
        <color rgb="FF12BDAB"/>
      </bottom>
      <diagonal/>
    </border>
    <border>
      <left/>
      <right/>
      <top/>
      <bottom style="medium">
        <color rgb="FF12BDAB"/>
      </bottom>
      <diagonal/>
    </border>
    <border>
      <left/>
      <right style="medium">
        <color rgb="FF12BDAB"/>
      </right>
      <top/>
      <bottom style="medium">
        <color rgb="FF12BDAB"/>
      </bottom>
      <diagonal/>
    </border>
    <border>
      <left style="thin">
        <color auto="1"/>
      </left>
      <right/>
      <top style="medium">
        <color auto="1"/>
      </top>
      <bottom style="medium">
        <color rgb="FF30383B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30383B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30383B"/>
      </left>
      <right/>
      <top style="medium">
        <color rgb="FF30383B"/>
      </top>
      <bottom style="medium">
        <color rgb="FF30383B"/>
      </bottom>
      <diagonal/>
    </border>
    <border>
      <left style="thin">
        <color auto="1"/>
      </left>
      <right style="medium">
        <color rgb="FF30383B"/>
      </right>
      <top style="medium">
        <color rgb="FF30383B"/>
      </top>
      <bottom style="medium">
        <color rgb="FF30383B"/>
      </bottom>
      <diagonal/>
    </border>
    <border>
      <left style="medium">
        <color rgb="FF30383B"/>
      </left>
      <right style="thin">
        <color auto="1"/>
      </right>
      <top style="medium">
        <color rgb="FF30383B"/>
      </top>
      <bottom style="medium">
        <color rgb="FF30383B"/>
      </bottom>
      <diagonal/>
    </border>
    <border>
      <left style="thin">
        <color auto="1"/>
      </left>
      <right/>
      <top style="medium">
        <color rgb="FF30383B"/>
      </top>
      <bottom style="medium">
        <color rgb="FF30383B"/>
      </bottom>
      <diagonal/>
    </border>
    <border>
      <left style="thin">
        <color auto="1"/>
      </left>
      <right style="thin">
        <color auto="1"/>
      </right>
      <top style="medium">
        <color rgb="FF30383B"/>
      </top>
      <bottom style="medium">
        <color rgb="FF30383B"/>
      </bottom>
      <diagonal/>
    </border>
    <border>
      <left style="thin">
        <color auto="1"/>
      </left>
      <right/>
      <top style="medium">
        <color rgb="FF30383B"/>
      </top>
      <bottom style="medium">
        <color auto="1"/>
      </bottom>
      <diagonal/>
    </border>
    <border>
      <left/>
      <right/>
      <top style="medium">
        <color rgb="FF30383B"/>
      </top>
      <bottom style="medium">
        <color auto="1"/>
      </bottom>
      <diagonal/>
    </border>
    <border>
      <left/>
      <right style="medium">
        <color auto="1"/>
      </right>
      <top style="medium">
        <color rgb="FF30383B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30383B"/>
      </bottom>
      <diagonal/>
    </border>
    <border>
      <left/>
      <right/>
      <top style="thin">
        <color auto="1"/>
      </top>
      <bottom style="medium">
        <color rgb="FF30383B"/>
      </bottom>
      <diagonal/>
    </border>
    <border>
      <left/>
      <right style="medium">
        <color auto="1"/>
      </right>
      <top style="thin">
        <color auto="1"/>
      </top>
      <bottom style="medium">
        <color rgb="FF30383B"/>
      </bottom>
      <diagonal/>
    </border>
    <border>
      <left style="thin">
        <color auto="1"/>
      </left>
      <right/>
      <top style="medium">
        <color rgb="FF30383B"/>
      </top>
      <bottom style="thin">
        <color auto="1"/>
      </bottom>
      <diagonal/>
    </border>
    <border>
      <left/>
      <right/>
      <top style="medium">
        <color rgb="FF30383B"/>
      </top>
      <bottom style="thin">
        <color auto="1"/>
      </bottom>
      <diagonal/>
    </border>
    <border>
      <left/>
      <right style="medium">
        <color auto="1"/>
      </right>
      <top style="medium">
        <color rgb="FF30383B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rgb="FF30383B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rgb="FF30383B"/>
      </bottom>
      <diagonal/>
    </border>
    <border>
      <left/>
      <right style="medium">
        <color rgb="FF30383B"/>
      </right>
      <top/>
      <bottom style="medium">
        <color rgb="FF30383B"/>
      </bottom>
      <diagonal/>
    </border>
    <border>
      <left style="medium">
        <color rgb="FF30383B"/>
      </left>
      <right style="thin">
        <color auto="1"/>
      </right>
      <top style="thin">
        <color auto="1"/>
      </top>
      <bottom/>
      <diagonal/>
    </border>
    <border>
      <left style="medium">
        <color rgb="FF30383B"/>
      </left>
      <right style="thin">
        <color auto="1"/>
      </right>
      <top/>
      <bottom style="medium">
        <color rgb="FF30383B"/>
      </bottom>
      <diagonal/>
    </border>
    <border>
      <left/>
      <right style="medium">
        <color rgb="FF30383B"/>
      </right>
      <top/>
      <bottom style="thin">
        <color auto="1"/>
      </bottom>
      <diagonal/>
    </border>
    <border>
      <left style="medium">
        <color rgb="FF30383B"/>
      </left>
      <right style="thin">
        <color auto="1"/>
      </right>
      <top/>
      <bottom style="thin">
        <color auto="1"/>
      </bottom>
      <diagonal/>
    </border>
    <border>
      <left style="medium">
        <color rgb="FF30383B"/>
      </left>
      <right/>
      <top style="medium">
        <color rgb="FF30383B"/>
      </top>
      <bottom style="thin">
        <color auto="1"/>
      </bottom>
      <diagonal/>
    </border>
    <border>
      <left/>
      <right style="medium">
        <color rgb="FF30383B"/>
      </right>
      <top style="medium">
        <color rgb="FF30383B"/>
      </top>
      <bottom style="thin">
        <color auto="1"/>
      </bottom>
      <diagonal/>
    </border>
  </borders>
  <cellStyleXfs count="8">
    <xf numFmtId="0" fontId="0" fillId="0" borderId="0"/>
    <xf numFmtId="0" fontId="40" fillId="0" borderId="0"/>
    <xf numFmtId="0" fontId="1" fillId="0" borderId="0"/>
    <xf numFmtId="9" fontId="40" fillId="0" borderId="0" applyFont="0" applyFill="0" applyBorder="0" applyProtection="0"/>
    <xf numFmtId="9" fontId="40" fillId="0" borderId="0" applyFont="0" applyFill="0" applyBorder="0" applyProtection="0"/>
    <xf numFmtId="164" fontId="40" fillId="0" borderId="0" applyFont="0" applyFill="0" applyBorder="0" applyProtection="0"/>
    <xf numFmtId="165" fontId="40" fillId="0" borderId="0"/>
    <xf numFmtId="0" fontId="40" fillId="0" borderId="0"/>
  </cellStyleXfs>
  <cellXfs count="195">
    <xf numFmtId="0" fontId="0" fillId="0" borderId="0" xfId="0"/>
    <xf numFmtId="0" fontId="1" fillId="2" borderId="0" xfId="2" applyFill="1"/>
    <xf numFmtId="3" fontId="0" fillId="2" borderId="0" xfId="0" applyNumberFormat="1" applyFill="1"/>
    <xf numFmtId="3" fontId="0" fillId="2" borderId="0" xfId="0" applyNumberFormat="1" applyFill="1" applyAlignment="1">
      <alignment horizontal="center" vertical="center"/>
    </xf>
    <xf numFmtId="0" fontId="0" fillId="2" borderId="0" xfId="0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top" wrapText="1"/>
    </xf>
    <xf numFmtId="0" fontId="9" fillId="3" borderId="5" xfId="0" applyFont="1" applyFill="1" applyBorder="1" applyAlignment="1">
      <alignment vertical="center" wrapText="1"/>
    </xf>
    <xf numFmtId="3" fontId="0" fillId="3" borderId="4" xfId="0" applyNumberFormat="1" applyFill="1" applyBorder="1"/>
    <xf numFmtId="0" fontId="10" fillId="5" borderId="11" xfId="1" applyFont="1" applyFill="1" applyBorder="1" applyAlignment="1">
      <alignment horizontal="center" vertical="center" wrapText="1"/>
    </xf>
    <xf numFmtId="0" fontId="10" fillId="5" borderId="12" xfId="1" applyFont="1" applyFill="1" applyBorder="1" applyAlignment="1">
      <alignment horizontal="center" vertical="center" wrapText="1"/>
    </xf>
    <xf numFmtId="0" fontId="10" fillId="5" borderId="13" xfId="1" applyFont="1" applyFill="1" applyBorder="1" applyAlignment="1">
      <alignment horizontal="center" vertical="center" wrapText="1"/>
    </xf>
    <xf numFmtId="0" fontId="10" fillId="5" borderId="14" xfId="1" applyFont="1" applyFill="1" applyBorder="1" applyAlignment="1">
      <alignment horizontal="center" vertical="center" wrapText="1"/>
    </xf>
    <xf numFmtId="0" fontId="11" fillId="3" borderId="15" xfId="1" applyFont="1" applyFill="1" applyBorder="1" applyAlignment="1">
      <alignment horizontal="center"/>
    </xf>
    <xf numFmtId="3" fontId="12" fillId="3" borderId="16" xfId="0" applyNumberFormat="1" applyFont="1" applyFill="1" applyBorder="1" applyAlignment="1">
      <alignment horizontal="left" vertical="center"/>
    </xf>
    <xf numFmtId="3" fontId="12" fillId="3" borderId="18" xfId="0" applyNumberFormat="1" applyFont="1" applyFill="1" applyBorder="1" applyAlignment="1">
      <alignment horizontal="center" vertical="center"/>
    </xf>
    <xf numFmtId="3" fontId="13" fillId="3" borderId="5" xfId="0" applyNumberFormat="1" applyFont="1" applyFill="1" applyBorder="1" applyAlignment="1">
      <alignment horizontal="center" vertical="center"/>
    </xf>
    <xf numFmtId="0" fontId="14" fillId="0" borderId="16" xfId="0" applyFont="1" applyBorder="1"/>
    <xf numFmtId="3" fontId="15" fillId="0" borderId="9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3" fontId="12" fillId="3" borderId="19" xfId="0" applyNumberFormat="1" applyFont="1" applyFill="1" applyBorder="1" applyAlignment="1">
      <alignment horizontal="left" vertical="center"/>
    </xf>
    <xf numFmtId="3" fontId="14" fillId="3" borderId="20" xfId="0" applyNumberFormat="1" applyFont="1" applyFill="1" applyBorder="1" applyAlignment="1">
      <alignment horizontal="center" vertical="center"/>
    </xf>
    <xf numFmtId="3" fontId="14" fillId="3" borderId="21" xfId="0" applyNumberFormat="1" applyFont="1" applyFill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14" fillId="3" borderId="17" xfId="0" applyNumberFormat="1" applyFont="1" applyFill="1" applyBorder="1" applyAlignment="1">
      <alignment horizontal="center" vertical="center"/>
    </xf>
    <xf numFmtId="3" fontId="16" fillId="3" borderId="5" xfId="0" applyNumberFormat="1" applyFont="1" applyFill="1" applyBorder="1" applyAlignment="1">
      <alignment horizontal="center" vertical="center"/>
    </xf>
    <xf numFmtId="3" fontId="15" fillId="0" borderId="9" xfId="3" applyNumberFormat="1" applyFont="1" applyBorder="1" applyAlignment="1">
      <alignment horizontal="center" vertical="center"/>
    </xf>
    <xf numFmtId="3" fontId="12" fillId="3" borderId="22" xfId="0" applyNumberFormat="1" applyFont="1" applyFill="1" applyBorder="1" applyAlignment="1">
      <alignment horizontal="center" vertical="center"/>
    </xf>
    <xf numFmtId="3" fontId="12" fillId="3" borderId="23" xfId="0" applyNumberFormat="1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/>
    </xf>
    <xf numFmtId="3" fontId="12" fillId="7" borderId="25" xfId="0" applyNumberFormat="1" applyFont="1" applyFill="1" applyBorder="1" applyAlignment="1">
      <alignment horizontal="center" vertical="center"/>
    </xf>
    <xf numFmtId="3" fontId="0" fillId="3" borderId="0" xfId="0" applyNumberFormat="1" applyFill="1"/>
    <xf numFmtId="3" fontId="0" fillId="3" borderId="26" xfId="0" applyNumberFormat="1" applyFill="1" applyBorder="1"/>
    <xf numFmtId="3" fontId="17" fillId="3" borderId="27" xfId="0" applyNumberFormat="1" applyFont="1" applyFill="1" applyBorder="1" applyAlignment="1">
      <alignment horizontal="center"/>
    </xf>
    <xf numFmtId="3" fontId="0" fillId="3" borderId="28" xfId="0" applyNumberFormat="1" applyFill="1" applyBorder="1" applyAlignment="1">
      <alignment horizontal="center" vertical="center"/>
    </xf>
    <xf numFmtId="0" fontId="19" fillId="2" borderId="0" xfId="0" applyFont="1" applyFill="1"/>
    <xf numFmtId="0" fontId="21" fillId="3" borderId="4" xfId="0" applyFont="1" applyFill="1" applyBorder="1" applyAlignment="1">
      <alignment horizontal="center" wrapText="1"/>
    </xf>
    <xf numFmtId="0" fontId="21" fillId="3" borderId="0" xfId="0" applyFont="1" applyFill="1" applyAlignment="1">
      <alignment horizontal="center"/>
    </xf>
    <xf numFmtId="0" fontId="21" fillId="3" borderId="5" xfId="0" applyFont="1" applyFill="1" applyBorder="1" applyAlignment="1">
      <alignment horizontal="center"/>
    </xf>
    <xf numFmtId="0" fontId="19" fillId="3" borderId="4" xfId="0" applyFont="1" applyFill="1" applyBorder="1"/>
    <xf numFmtId="0" fontId="23" fillId="6" borderId="11" xfId="0" applyFont="1" applyFill="1" applyBorder="1" applyAlignment="1">
      <alignment horizontal="center" vertical="center" wrapText="1"/>
    </xf>
    <xf numFmtId="3" fontId="23" fillId="5" borderId="12" xfId="1" applyNumberFormat="1" applyFont="1" applyFill="1" applyBorder="1" applyAlignment="1">
      <alignment horizontal="center" vertical="center"/>
    </xf>
    <xf numFmtId="3" fontId="23" fillId="5" borderId="13" xfId="1" applyNumberFormat="1" applyFont="1" applyFill="1" applyBorder="1" applyAlignment="1">
      <alignment horizontal="center" vertical="center"/>
    </xf>
    <xf numFmtId="3" fontId="23" fillId="5" borderId="29" xfId="1" applyNumberFormat="1" applyFont="1" applyFill="1" applyBorder="1" applyAlignment="1">
      <alignment horizontal="center" vertical="center"/>
    </xf>
    <xf numFmtId="0" fontId="24" fillId="8" borderId="5" xfId="0" applyFont="1" applyFill="1" applyBorder="1" applyAlignment="1">
      <alignment horizontal="center"/>
    </xf>
    <xf numFmtId="0" fontId="25" fillId="3" borderId="19" xfId="1" applyFont="1" applyFill="1" applyBorder="1" applyAlignment="1">
      <alignment horizontal="left" vertical="center"/>
    </xf>
    <xf numFmtId="3" fontId="26" fillId="0" borderId="9" xfId="1" applyNumberFormat="1" applyFont="1" applyBorder="1" applyAlignment="1">
      <alignment horizontal="center"/>
    </xf>
    <xf numFmtId="0" fontId="25" fillId="3" borderId="16" xfId="1" applyFont="1" applyFill="1" applyBorder="1" applyAlignment="1">
      <alignment horizontal="left" vertical="center"/>
    </xf>
    <xf numFmtId="3" fontId="25" fillId="0" borderId="9" xfId="1" applyNumberFormat="1" applyFont="1" applyBorder="1" applyAlignment="1">
      <alignment horizontal="center"/>
    </xf>
    <xf numFmtId="0" fontId="25" fillId="3" borderId="9" xfId="1" applyFont="1" applyFill="1" applyBorder="1" applyAlignment="1">
      <alignment horizontal="left" vertical="center"/>
    </xf>
    <xf numFmtId="3" fontId="27" fillId="0" borderId="9" xfId="3" applyNumberFormat="1" applyFont="1" applyBorder="1" applyAlignment="1">
      <alignment horizontal="center" vertical="center"/>
    </xf>
    <xf numFmtId="0" fontId="28" fillId="8" borderId="19" xfId="0" applyFont="1" applyFill="1" applyBorder="1" applyAlignment="1">
      <alignment horizontal="left" vertical="center" wrapText="1"/>
    </xf>
    <xf numFmtId="3" fontId="12" fillId="0" borderId="20" xfId="5" applyNumberFormat="1" applyFont="1" applyBorder="1" applyAlignment="1">
      <alignment horizontal="center" vertical="center"/>
    </xf>
    <xf numFmtId="166" fontId="24" fillId="0" borderId="5" xfId="5" applyNumberFormat="1" applyFont="1" applyBorder="1" applyAlignment="1">
      <alignment horizontal="center"/>
    </xf>
    <xf numFmtId="0" fontId="28" fillId="8" borderId="16" xfId="0" applyFont="1" applyFill="1" applyBorder="1" applyAlignment="1">
      <alignment horizontal="left" vertical="center" wrapText="1"/>
    </xf>
    <xf numFmtId="3" fontId="12" fillId="0" borderId="9" xfId="5" applyNumberFormat="1" applyFont="1" applyBorder="1" applyAlignment="1">
      <alignment horizontal="center" vertical="center"/>
    </xf>
    <xf numFmtId="0" fontId="28" fillId="6" borderId="16" xfId="0" applyFont="1" applyFill="1" applyBorder="1" applyAlignment="1">
      <alignment horizontal="left" vertical="center" wrapText="1"/>
    </xf>
    <xf numFmtId="3" fontId="12" fillId="5" borderId="9" xfId="5" applyNumberFormat="1" applyFont="1" applyFill="1" applyBorder="1" applyAlignment="1">
      <alignment horizontal="center" vertical="center"/>
    </xf>
    <xf numFmtId="0" fontId="29" fillId="8" borderId="16" xfId="0" applyFont="1" applyFill="1" applyBorder="1" applyAlignment="1">
      <alignment horizontal="right" vertical="center" wrapText="1"/>
    </xf>
    <xf numFmtId="3" fontId="30" fillId="4" borderId="9" xfId="5" applyNumberFormat="1" applyFont="1" applyFill="1" applyBorder="1" applyAlignment="1">
      <alignment horizontal="center" vertical="center"/>
    </xf>
    <xf numFmtId="3" fontId="30" fillId="5" borderId="9" xfId="5" applyNumberFormat="1" applyFont="1" applyFill="1" applyBorder="1" applyAlignment="1">
      <alignment horizontal="center" vertical="center"/>
    </xf>
    <xf numFmtId="0" fontId="28" fillId="6" borderId="9" xfId="0" applyFont="1" applyFill="1" applyBorder="1" applyAlignment="1">
      <alignment horizontal="left" vertical="center" wrapText="1"/>
    </xf>
    <xf numFmtId="3" fontId="28" fillId="6" borderId="9" xfId="0" applyNumberFormat="1" applyFont="1" applyFill="1" applyBorder="1" applyAlignment="1">
      <alignment horizontal="center" vertical="center" wrapText="1"/>
    </xf>
    <xf numFmtId="3" fontId="28" fillId="6" borderId="7" xfId="0" applyNumberFormat="1" applyFont="1" applyFill="1" applyBorder="1" applyAlignment="1">
      <alignment horizontal="center" vertical="center" wrapText="1"/>
    </xf>
    <xf numFmtId="3" fontId="28" fillId="6" borderId="8" xfId="0" applyNumberFormat="1" applyFont="1" applyFill="1" applyBorder="1" applyAlignment="1">
      <alignment horizontal="center" vertical="center" wrapText="1"/>
    </xf>
    <xf numFmtId="3" fontId="28" fillId="6" borderId="30" xfId="0" applyNumberFormat="1" applyFont="1" applyFill="1" applyBorder="1" applyAlignment="1">
      <alignment horizontal="center" vertical="center" wrapText="1"/>
    </xf>
    <xf numFmtId="3" fontId="30" fillId="4" borderId="7" xfId="5" applyNumberFormat="1" applyFont="1" applyFill="1" applyBorder="1" applyAlignment="1">
      <alignment horizontal="center" vertical="center"/>
    </xf>
    <xf numFmtId="3" fontId="30" fillId="4" borderId="31" xfId="5" applyNumberFormat="1" applyFont="1" applyFill="1" applyBorder="1" applyAlignment="1">
      <alignment horizontal="center" vertical="center"/>
    </xf>
    <xf numFmtId="3" fontId="30" fillId="4" borderId="17" xfId="5" applyNumberFormat="1" applyFont="1" applyFill="1" applyBorder="1" applyAlignment="1">
      <alignment horizontal="center" vertical="center"/>
    </xf>
    <xf numFmtId="3" fontId="30" fillId="4" borderId="8" xfId="5" applyNumberFormat="1" applyFont="1" applyFill="1" applyBorder="1" applyAlignment="1">
      <alignment horizontal="center" vertical="center"/>
    </xf>
    <xf numFmtId="3" fontId="30" fillId="3" borderId="9" xfId="5" applyNumberFormat="1" applyFont="1" applyFill="1" applyBorder="1" applyAlignment="1">
      <alignment horizontal="center" vertical="center"/>
    </xf>
    <xf numFmtId="3" fontId="28" fillId="6" borderId="16" xfId="0" applyNumberFormat="1" applyFont="1" applyFill="1" applyBorder="1" applyAlignment="1">
      <alignment horizontal="center" vertical="center" wrapText="1"/>
    </xf>
    <xf numFmtId="0" fontId="28" fillId="6" borderId="9" xfId="0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center" vertical="center" wrapText="1"/>
    </xf>
    <xf numFmtId="0" fontId="28" fillId="6" borderId="16" xfId="0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vertical="center"/>
    </xf>
    <xf numFmtId="166" fontId="19" fillId="0" borderId="5" xfId="5" applyNumberFormat="1" applyFont="1" applyBorder="1" applyAlignment="1">
      <alignment horizontal="center"/>
    </xf>
    <xf numFmtId="0" fontId="12" fillId="10" borderId="16" xfId="0" applyFont="1" applyFill="1" applyBorder="1" applyAlignment="1">
      <alignment vertical="center"/>
    </xf>
    <xf numFmtId="3" fontId="14" fillId="0" borderId="9" xfId="5" applyNumberFormat="1" applyFont="1" applyBorder="1" applyAlignment="1">
      <alignment horizontal="center" vertical="center"/>
    </xf>
    <xf numFmtId="3" fontId="14" fillId="0" borderId="7" xfId="5" applyNumberFormat="1" applyFont="1" applyBorder="1" applyAlignment="1">
      <alignment horizontal="center" vertical="center"/>
    </xf>
    <xf numFmtId="3" fontId="14" fillId="0" borderId="6" xfId="5" applyNumberFormat="1" applyFont="1" applyBorder="1" applyAlignment="1">
      <alignment horizontal="center" vertical="center"/>
    </xf>
    <xf numFmtId="3" fontId="12" fillId="0" borderId="17" xfId="5" applyNumberFormat="1" applyFont="1" applyBorder="1" applyAlignment="1">
      <alignment horizontal="center" vertical="center"/>
    </xf>
    <xf numFmtId="0" fontId="23" fillId="6" borderId="16" xfId="0" applyFont="1" applyFill="1" applyBorder="1" applyAlignment="1">
      <alignment horizontal="left"/>
    </xf>
    <xf numFmtId="3" fontId="23" fillId="5" borderId="9" xfId="0" applyNumberFormat="1" applyFont="1" applyFill="1" applyBorder="1" applyAlignment="1">
      <alignment horizontal="center" vertical="center"/>
    </xf>
    <xf numFmtId="3" fontId="23" fillId="6" borderId="9" xfId="0" applyNumberFormat="1" applyFont="1" applyFill="1" applyBorder="1" applyAlignment="1">
      <alignment horizontal="center" vertical="center"/>
    </xf>
    <xf numFmtId="3" fontId="23" fillId="5" borderId="6" xfId="0" applyNumberFormat="1" applyFont="1" applyFill="1" applyBorder="1" applyAlignment="1">
      <alignment horizontal="center" vertical="center"/>
    </xf>
    <xf numFmtId="0" fontId="23" fillId="6" borderId="32" xfId="0" applyFont="1" applyFill="1" applyBorder="1" applyAlignment="1">
      <alignment horizontal="left"/>
    </xf>
    <xf numFmtId="3" fontId="23" fillId="5" borderId="33" xfId="0" applyNumberFormat="1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24" fillId="8" borderId="0" xfId="0" applyFont="1" applyFill="1" applyAlignment="1">
      <alignment horizontal="left"/>
    </xf>
    <xf numFmtId="0" fontId="27" fillId="8" borderId="0" xfId="0" applyFont="1" applyFill="1" applyAlignment="1">
      <alignment horizontal="left"/>
    </xf>
    <xf numFmtId="0" fontId="27" fillId="8" borderId="0" xfId="0" applyFont="1" applyFill="1" applyAlignment="1">
      <alignment horizontal="center"/>
    </xf>
    <xf numFmtId="0" fontId="27" fillId="8" borderId="5" xfId="0" applyFont="1" applyFill="1" applyBorder="1" applyAlignment="1">
      <alignment horizontal="center"/>
    </xf>
    <xf numFmtId="0" fontId="19" fillId="3" borderId="0" xfId="0" applyFont="1" applyFill="1"/>
    <xf numFmtId="0" fontId="32" fillId="3" borderId="0" xfId="0" applyFont="1" applyFill="1" applyAlignment="1">
      <alignment horizontal="left" vertical="center" wrapText="1"/>
    </xf>
    <xf numFmtId="0" fontId="33" fillId="3" borderId="0" xfId="0" applyFont="1" applyFill="1" applyAlignment="1">
      <alignment vertical="center" wrapText="1"/>
    </xf>
    <xf numFmtId="0" fontId="32" fillId="3" borderId="0" xfId="0" applyFont="1" applyFill="1" applyAlignment="1">
      <alignment vertical="center" wrapText="1"/>
    </xf>
    <xf numFmtId="0" fontId="19" fillId="3" borderId="5" xfId="0" applyFont="1" applyFill="1" applyBorder="1"/>
    <xf numFmtId="3" fontId="36" fillId="11" borderId="0" xfId="0" applyNumberFormat="1" applyFont="1" applyFill="1" applyAlignment="1" applyProtection="1">
      <alignment vertical="center"/>
      <protection locked="0"/>
    </xf>
    <xf numFmtId="3" fontId="36" fillId="0" borderId="0" xfId="0" applyNumberFormat="1" applyFont="1" applyAlignment="1" applyProtection="1">
      <alignment vertical="center"/>
      <protection locked="0"/>
    </xf>
    <xf numFmtId="0" fontId="19" fillId="3" borderId="26" xfId="0" applyFont="1" applyFill="1" applyBorder="1"/>
    <xf numFmtId="0" fontId="19" fillId="3" borderId="27" xfId="0" applyFont="1" applyFill="1" applyBorder="1"/>
    <xf numFmtId="0" fontId="19" fillId="3" borderId="28" xfId="0" applyFont="1" applyFill="1" applyBorder="1"/>
    <xf numFmtId="0" fontId="14" fillId="2" borderId="0" xfId="0" applyFont="1" applyFill="1" applyAlignment="1">
      <alignment horizontal="center" vertical="center"/>
    </xf>
    <xf numFmtId="0" fontId="38" fillId="3" borderId="4" xfId="0" applyFont="1" applyFill="1" applyBorder="1" applyAlignment="1">
      <alignment horizontal="center" vertical="center" wrapText="1"/>
    </xf>
    <xf numFmtId="0" fontId="5" fillId="4" borderId="39" xfId="1" applyFont="1" applyFill="1" applyBorder="1" applyAlignment="1">
      <alignment vertical="center" wrapText="1"/>
    </xf>
    <xf numFmtId="3" fontId="6" fillId="5" borderId="40" xfId="0" applyNumberFormat="1" applyFont="1" applyFill="1" applyBorder="1" applyAlignment="1">
      <alignment horizontal="center" vertical="center"/>
    </xf>
    <xf numFmtId="3" fontId="39" fillId="3" borderId="0" xfId="0" applyNumberFormat="1" applyFont="1" applyFill="1" applyAlignment="1">
      <alignment horizontal="center" vertical="center"/>
    </xf>
    <xf numFmtId="0" fontId="38" fillId="3" borderId="5" xfId="0" applyFont="1" applyFill="1" applyBorder="1" applyAlignment="1">
      <alignment horizontal="center" vertical="center" wrapText="1"/>
    </xf>
    <xf numFmtId="0" fontId="5" fillId="3" borderId="0" xfId="1" applyFont="1" applyFill="1" applyAlignment="1">
      <alignment vertical="center" wrapText="1"/>
    </xf>
    <xf numFmtId="0" fontId="15" fillId="3" borderId="0" xfId="0" applyFont="1" applyFill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0" fontId="38" fillId="3" borderId="5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0" fillId="5" borderId="41" xfId="1" applyFont="1" applyFill="1" applyBorder="1" applyAlignment="1">
      <alignment horizontal="center" vertical="center"/>
    </xf>
    <xf numFmtId="0" fontId="10" fillId="5" borderId="42" xfId="1" applyFont="1" applyFill="1" applyBorder="1" applyAlignment="1">
      <alignment horizontal="center" vertical="center" wrapText="1"/>
    </xf>
    <xf numFmtId="0" fontId="10" fillId="5" borderId="43" xfId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3" fontId="12" fillId="5" borderId="37" xfId="5" applyNumberFormat="1" applyFont="1" applyFill="1" applyBorder="1" applyAlignment="1">
      <alignment horizontal="center" vertical="center"/>
    </xf>
    <xf numFmtId="166" fontId="12" fillId="0" borderId="5" xfId="5" applyNumberFormat="1" applyFont="1" applyBorder="1" applyAlignment="1">
      <alignment horizontal="center" vertical="center"/>
    </xf>
    <xf numFmtId="3" fontId="12" fillId="0" borderId="37" xfId="5" applyNumberFormat="1" applyFont="1" applyBorder="1" applyAlignment="1">
      <alignment horizontal="center" vertical="center"/>
    </xf>
    <xf numFmtId="3" fontId="12" fillId="12" borderId="9" xfId="5" applyNumberFormat="1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3" fontId="6" fillId="5" borderId="40" xfId="0" applyNumberFormat="1" applyFont="1" applyFill="1" applyBorder="1" applyAlignment="1" applyProtection="1">
      <alignment horizontal="center" vertical="center"/>
      <protection locked="0"/>
    </xf>
    <xf numFmtId="3" fontId="12" fillId="3" borderId="47" xfId="0" applyNumberFormat="1" applyFont="1" applyFill="1" applyBorder="1" applyAlignment="1">
      <alignment horizontal="center" vertical="center"/>
    </xf>
    <xf numFmtId="3" fontId="12" fillId="3" borderId="48" xfId="0" applyNumberFormat="1" applyFont="1" applyFill="1" applyBorder="1" applyAlignment="1">
      <alignment horizontal="center" vertical="center"/>
    </xf>
    <xf numFmtId="3" fontId="12" fillId="3" borderId="49" xfId="0" applyNumberFormat="1" applyFont="1" applyFill="1" applyBorder="1" applyAlignment="1">
      <alignment horizontal="center" vertical="center"/>
    </xf>
    <xf numFmtId="3" fontId="10" fillId="6" borderId="44" xfId="0" applyNumberFormat="1" applyFont="1" applyFill="1" applyBorder="1" applyAlignment="1">
      <alignment horizontal="center" vertical="center"/>
    </xf>
    <xf numFmtId="3" fontId="10" fillId="6" borderId="45" xfId="0" applyNumberFormat="1" applyFont="1" applyFill="1" applyBorder="1" applyAlignment="1">
      <alignment horizontal="center" vertical="center"/>
    </xf>
    <xf numFmtId="3" fontId="10" fillId="6" borderId="46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/>
    </xf>
    <xf numFmtId="3" fontId="18" fillId="2" borderId="0" xfId="0" applyNumberFormat="1" applyFont="1" applyFill="1" applyAlignment="1">
      <alignment horizontal="center" vertical="center"/>
    </xf>
    <xf numFmtId="3" fontId="12" fillId="3" borderId="6" xfId="0" applyNumberFormat="1" applyFont="1" applyFill="1" applyBorder="1" applyAlignment="1">
      <alignment horizontal="center" vertical="center"/>
    </xf>
    <xf numFmtId="3" fontId="12" fillId="3" borderId="7" xfId="0" applyNumberFormat="1" applyFont="1" applyFill="1" applyBorder="1" applyAlignment="1">
      <alignment horizontal="center" vertical="center"/>
    </xf>
    <xf numFmtId="3" fontId="12" fillId="3" borderId="31" xfId="0" applyNumberFormat="1" applyFont="1" applyFill="1" applyBorder="1" applyAlignment="1">
      <alignment horizontal="center" vertical="center"/>
    </xf>
    <xf numFmtId="3" fontId="12" fillId="3" borderId="50" xfId="0" applyNumberFormat="1" applyFont="1" applyFill="1" applyBorder="1" applyAlignment="1">
      <alignment horizontal="center" vertical="center"/>
    </xf>
    <xf numFmtId="3" fontId="12" fillId="3" borderId="51" xfId="0" applyNumberFormat="1" applyFont="1" applyFill="1" applyBorder="1" applyAlignment="1">
      <alignment horizontal="center" vertical="center"/>
    </xf>
    <xf numFmtId="3" fontId="12" fillId="3" borderId="52" xfId="0" applyNumberFormat="1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top" wrapText="1"/>
    </xf>
    <xf numFmtId="2" fontId="6" fillId="5" borderId="6" xfId="0" applyNumberFormat="1" applyFont="1" applyFill="1" applyBorder="1" applyAlignment="1">
      <alignment horizontal="center" vertical="center"/>
    </xf>
    <xf numFmtId="2" fontId="6" fillId="5" borderId="7" xfId="0" applyNumberFormat="1" applyFont="1" applyFill="1" applyBorder="1" applyAlignment="1">
      <alignment horizontal="center" vertical="center"/>
    </xf>
    <xf numFmtId="2" fontId="6" fillId="5" borderId="8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/>
    </xf>
    <xf numFmtId="0" fontId="23" fillId="5" borderId="61" xfId="1" applyFont="1" applyFill="1" applyBorder="1" applyAlignment="1">
      <alignment horizontal="center"/>
    </xf>
    <xf numFmtId="0" fontId="23" fillId="5" borderId="51" xfId="1" applyFont="1" applyFill="1" applyBorder="1" applyAlignment="1">
      <alignment horizontal="center"/>
    </xf>
    <xf numFmtId="0" fontId="23" fillId="5" borderId="62" xfId="1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4" fillId="8" borderId="57" xfId="0" applyFont="1" applyFill="1" applyBorder="1" applyAlignment="1">
      <alignment horizontal="left" vertical="center"/>
    </xf>
    <xf numFmtId="0" fontId="34" fillId="8" borderId="58" xfId="0" applyFont="1" applyFill="1" applyBorder="1" applyAlignment="1">
      <alignment horizontal="left" vertical="center"/>
    </xf>
    <xf numFmtId="3" fontId="10" fillId="3" borderId="35" xfId="0" applyNumberFormat="1" applyFont="1" applyFill="1" applyBorder="1" applyAlignment="1">
      <alignment horizontal="center" vertical="center"/>
    </xf>
    <xf numFmtId="3" fontId="10" fillId="3" borderId="54" xfId="0" applyNumberFormat="1" applyFont="1" applyFill="1" applyBorder="1" applyAlignment="1">
      <alignment horizontal="center" vertical="center"/>
    </xf>
    <xf numFmtId="3" fontId="10" fillId="3" borderId="55" xfId="0" applyNumberFormat="1" applyFont="1" applyFill="1" applyBorder="1" applyAlignment="1">
      <alignment horizontal="center" vertical="center"/>
    </xf>
    <xf numFmtId="3" fontId="10" fillId="3" borderId="56" xfId="0" applyNumberFormat="1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center"/>
    </xf>
    <xf numFmtId="0" fontId="19" fillId="3" borderId="36" xfId="0" applyFont="1" applyFill="1" applyBorder="1" applyAlignment="1">
      <alignment horizontal="center"/>
    </xf>
    <xf numFmtId="0" fontId="19" fillId="3" borderId="37" xfId="0" applyFont="1" applyFill="1" applyBorder="1" applyAlignment="1">
      <alignment horizontal="center"/>
    </xf>
    <xf numFmtId="0" fontId="19" fillId="3" borderId="38" xfId="0" applyFont="1" applyFill="1" applyBorder="1" applyAlignment="1">
      <alignment horizontal="center"/>
    </xf>
    <xf numFmtId="3" fontId="19" fillId="3" borderId="35" xfId="0" applyNumberFormat="1" applyFont="1" applyFill="1" applyBorder="1" applyAlignment="1">
      <alignment horizontal="center"/>
    </xf>
    <xf numFmtId="0" fontId="34" fillId="8" borderId="60" xfId="0" applyFont="1" applyFill="1" applyBorder="1" applyAlignment="1">
      <alignment horizontal="left" vertical="center"/>
    </xf>
    <xf numFmtId="3" fontId="10" fillId="3" borderId="37" xfId="0" applyNumberFormat="1" applyFont="1" applyFill="1" applyBorder="1" applyAlignment="1">
      <alignment horizontal="center" vertical="center"/>
    </xf>
    <xf numFmtId="3" fontId="10" fillId="3" borderId="59" xfId="0" applyNumberFormat="1" applyFont="1" applyFill="1" applyBorder="1" applyAlignment="1">
      <alignment horizontal="center" vertical="center"/>
    </xf>
    <xf numFmtId="0" fontId="35" fillId="3" borderId="35" xfId="0" applyFont="1" applyFill="1" applyBorder="1" applyAlignment="1">
      <alignment horizontal="center" vertical="center"/>
    </xf>
    <xf numFmtId="0" fontId="35" fillId="3" borderId="36" xfId="0" applyFont="1" applyFill="1" applyBorder="1" applyAlignment="1">
      <alignment horizontal="center" vertical="center"/>
    </xf>
    <xf numFmtId="0" fontId="35" fillId="3" borderId="37" xfId="0" applyFont="1" applyFill="1" applyBorder="1" applyAlignment="1">
      <alignment horizontal="center" vertical="center"/>
    </xf>
    <xf numFmtId="0" fontId="35" fillId="3" borderId="38" xfId="0" applyFont="1" applyFill="1" applyBorder="1" applyAlignment="1">
      <alignment horizontal="center" vertical="center"/>
    </xf>
    <xf numFmtId="3" fontId="10" fillId="3" borderId="9" xfId="0" applyNumberFormat="1" applyFont="1" applyFill="1" applyBorder="1" applyAlignment="1">
      <alignment horizontal="center" vertical="center"/>
    </xf>
    <xf numFmtId="3" fontId="10" fillId="3" borderId="34" xfId="0" applyNumberFormat="1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horizontal="center" vertical="center" wrapText="1"/>
    </xf>
    <xf numFmtId="0" fontId="37" fillId="3" borderId="0" xfId="0" applyFont="1" applyFill="1" applyBorder="1" applyAlignment="1">
      <alignment horizontal="center" vertical="center" wrapText="1"/>
    </xf>
    <xf numFmtId="0" fontId="37" fillId="3" borderId="5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1" xr:uid="{00000000-0005-0000-0000-000002000000}"/>
    <cellStyle name="Обычный 3" xfId="2" xr:uid="{00000000-0005-0000-0000-000003000000}"/>
    <cellStyle name="Процентный" xfId="3" builtinId="5"/>
    <cellStyle name="Процентный 2" xfId="4" xr:uid="{00000000-0005-0000-0000-000005000000}"/>
    <cellStyle name="Финансовый" xfId="5" builtinId="3"/>
    <cellStyle name="Финансовый 2" xfId="6" xr:uid="{00000000-0005-0000-0000-000007000000}"/>
    <cellStyle name="Excel Built-in Normal" xfId="7" xr:uid="{00000000-0005-0000-0000-000008000000}"/>
  </cellStyles>
  <dxfs count="4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86839</xdr:colOff>
      <xdr:row>0</xdr:row>
      <xdr:rowOff>10855</xdr:rowOff>
    </xdr:from>
    <xdr:to>
      <xdr:col>5</xdr:col>
      <xdr:colOff>738122</xdr:colOff>
      <xdr:row>26</xdr:row>
      <xdr:rowOff>108548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5F542FD-DF19-244E-A5EB-F0DE67EF0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839" y="10855"/>
          <a:ext cx="6404274" cy="67950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31749</xdr:colOff>
      <xdr:row>1</xdr:row>
      <xdr:rowOff>63500</xdr:rowOff>
    </xdr:from>
    <xdr:to>
      <xdr:col>2</xdr:col>
      <xdr:colOff>1952624</xdr:colOff>
      <xdr:row>4</xdr:row>
      <xdr:rowOff>31750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A6A8FF4-C9C5-8846-99EE-F3CDBFA4E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624" y="254000"/>
          <a:ext cx="1920875" cy="177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15876</xdr:rowOff>
    </xdr:from>
    <xdr:to>
      <xdr:col>2</xdr:col>
      <xdr:colOff>1793875</xdr:colOff>
      <xdr:row>3</xdr:row>
      <xdr:rowOff>142875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51710CDB-B61B-D246-91FA-6429058B1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206376"/>
          <a:ext cx="2079625" cy="15874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500972</xdr:colOff>
      <xdr:row>6</xdr:row>
      <xdr:rowOff>74084</xdr:rowOff>
    </xdr:from>
    <xdr:to>
      <xdr:col>3</xdr:col>
      <xdr:colOff>798564</xdr:colOff>
      <xdr:row>7</xdr:row>
      <xdr:rowOff>21167</xdr:rowOff>
    </xdr:to>
    <xdr:sp macro="" textlink="">
      <xdr:nvSpPr>
        <xdr:cNvPr id="8" name="Стрелка влево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 bwMode="auto">
        <a:xfrm rot="5400000">
          <a:off x="4676727" y="2687057"/>
          <a:ext cx="304992" cy="297592"/>
        </a:xfrm>
        <a:prstGeom prst="leftArrow">
          <a:avLst>
            <a:gd name="adj1" fmla="val 50000"/>
            <a:gd name="adj2" fmla="val 50000"/>
          </a:avLst>
        </a:prstGeom>
        <a:solidFill>
          <a:srgbClr val="12BDAB"/>
        </a:solidFill>
        <a:ln w="28575">
          <a:solidFill>
            <a:srgbClr val="72AF94">
              <a:alpha val="75000"/>
            </a:srgbClr>
          </a:solidFill>
        </a:ln>
        <a:effectLst>
          <a:outerShdw blurRad="50800" dist="50800" dir="5400000" sx="5000" sy="5000" algn="ctr" rotWithShape="0">
            <a:srgbClr val="000000">
              <a:alpha val="43137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>
            <a:defRPr/>
          </a:pPr>
          <a:endParaRPr lang="ru-RU" sz="1100" b="1">
            <a:ln>
              <a:noFill/>
            </a:ln>
            <a:solidFill>
              <a:schemeClr val="bg1"/>
            </a:solidFill>
            <a:latin typeface="Segoe UI"/>
            <a:ea typeface="Segoe UI"/>
            <a:cs typeface="Segoe UI"/>
          </a:endParaRPr>
        </a:p>
      </xdr:txBody>
    </xdr:sp>
    <xdr:clientData/>
  </xdr:twoCellAnchor>
  <xdr:twoCellAnchor>
    <xdr:from>
      <xdr:col>3</xdr:col>
      <xdr:colOff>503287</xdr:colOff>
      <xdr:row>10</xdr:row>
      <xdr:rowOff>64847</xdr:rowOff>
    </xdr:from>
    <xdr:to>
      <xdr:col>3</xdr:col>
      <xdr:colOff>800879</xdr:colOff>
      <xdr:row>11</xdr:row>
      <xdr:rowOff>173567</xdr:rowOff>
    </xdr:to>
    <xdr:sp macro="" textlink="">
      <xdr:nvSpPr>
        <xdr:cNvPr id="12" name="Стрелка влево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 bwMode="auto">
        <a:xfrm rot="5400000">
          <a:off x="4679042" y="3867002"/>
          <a:ext cx="304992" cy="297592"/>
        </a:xfrm>
        <a:prstGeom prst="leftArrow">
          <a:avLst>
            <a:gd name="adj1" fmla="val 50000"/>
            <a:gd name="adj2" fmla="val 50000"/>
          </a:avLst>
        </a:prstGeom>
        <a:solidFill>
          <a:srgbClr val="12BDAB"/>
        </a:solidFill>
        <a:ln w="28575">
          <a:solidFill>
            <a:srgbClr val="72AF94">
              <a:alpha val="75000"/>
            </a:srgbClr>
          </a:solidFill>
        </a:ln>
        <a:effectLst>
          <a:outerShdw blurRad="50800" dist="50800" dir="5400000" sx="5000" sy="5000" algn="ctr" rotWithShape="0">
            <a:srgbClr val="000000">
              <a:alpha val="43137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>
            <a:defRPr/>
          </a:pPr>
          <a:endParaRPr lang="ru-RU" sz="1100" b="1">
            <a:ln>
              <a:noFill/>
            </a:ln>
            <a:solidFill>
              <a:schemeClr val="bg1"/>
            </a:solidFill>
            <a:latin typeface="Segoe UI"/>
            <a:ea typeface="Segoe UI"/>
            <a:cs typeface="Segoe UI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</xdr:rowOff>
    </xdr:from>
    <xdr:to>
      <xdr:col>2</xdr:col>
      <xdr:colOff>1382890</xdr:colOff>
      <xdr:row>4</xdr:row>
      <xdr:rowOff>33628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CD26EB2D-670E-D545-A801-35E0342CB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557" y="197557"/>
          <a:ext cx="1707444" cy="18116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1508125</xdr:colOff>
      <xdr:row>4</xdr:row>
      <xdr:rowOff>127269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61568F9-90E3-1441-B6A4-EEF830E11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375" y="206375"/>
          <a:ext cx="1825625" cy="19370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1238250</xdr:colOff>
      <xdr:row>3</xdr:row>
      <xdr:rowOff>190177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D8787A9-0CB6-C74F-B37E-35109420B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375" y="190500"/>
          <a:ext cx="1555750" cy="16506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500972</xdr:colOff>
      <xdr:row>6</xdr:row>
      <xdr:rowOff>74084</xdr:rowOff>
    </xdr:from>
    <xdr:to>
      <xdr:col>3</xdr:col>
      <xdr:colOff>798564</xdr:colOff>
      <xdr:row>7</xdr:row>
      <xdr:rowOff>21167</xdr:rowOff>
    </xdr:to>
    <xdr:sp macro="" textlink="">
      <xdr:nvSpPr>
        <xdr:cNvPr id="2" name="Стрелка влево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 bwMode="auto">
        <a:xfrm rot="5400000">
          <a:off x="4740226" y="2654730"/>
          <a:ext cx="302683" cy="297592"/>
        </a:xfrm>
        <a:prstGeom prst="leftArrow">
          <a:avLst>
            <a:gd name="adj1" fmla="val 50000"/>
            <a:gd name="adj2" fmla="val 50000"/>
          </a:avLst>
        </a:prstGeom>
        <a:solidFill>
          <a:srgbClr val="12BDAB"/>
        </a:solidFill>
        <a:ln w="28575">
          <a:solidFill>
            <a:srgbClr val="72AF94">
              <a:alpha val="75000"/>
            </a:srgbClr>
          </a:solidFill>
        </a:ln>
        <a:effectLst>
          <a:outerShdw blurRad="50800" dist="50800" dir="5400000" sx="5000" sy="5000" algn="ctr" rotWithShape="0">
            <a:srgbClr val="000000">
              <a:alpha val="43137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>
            <a:defRPr/>
          </a:pPr>
          <a:endParaRPr lang="ru-RU" sz="1100" b="1">
            <a:ln>
              <a:noFill/>
            </a:ln>
            <a:solidFill>
              <a:schemeClr val="bg1"/>
            </a:solidFill>
            <a:latin typeface="Segoe UI"/>
            <a:ea typeface="Segoe UI"/>
            <a:cs typeface="Segoe UI"/>
          </a:endParaRPr>
        </a:p>
      </xdr:txBody>
    </xdr:sp>
    <xdr:clientData/>
  </xdr:twoCellAnchor>
  <xdr:twoCellAnchor>
    <xdr:from>
      <xdr:col>3</xdr:col>
      <xdr:colOff>503287</xdr:colOff>
      <xdr:row>10</xdr:row>
      <xdr:rowOff>64847</xdr:rowOff>
    </xdr:from>
    <xdr:to>
      <xdr:col>3</xdr:col>
      <xdr:colOff>800879</xdr:colOff>
      <xdr:row>11</xdr:row>
      <xdr:rowOff>173567</xdr:rowOff>
    </xdr:to>
    <xdr:sp macro="" textlink="">
      <xdr:nvSpPr>
        <xdr:cNvPr id="4" name="Стрелка влево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 bwMode="auto">
        <a:xfrm rot="5400000">
          <a:off x="4744273" y="3786761"/>
          <a:ext cx="299220" cy="297592"/>
        </a:xfrm>
        <a:prstGeom prst="leftArrow">
          <a:avLst>
            <a:gd name="adj1" fmla="val 50000"/>
            <a:gd name="adj2" fmla="val 50000"/>
          </a:avLst>
        </a:prstGeom>
        <a:solidFill>
          <a:srgbClr val="12BDAB"/>
        </a:solidFill>
        <a:ln w="28575">
          <a:solidFill>
            <a:srgbClr val="72AF94">
              <a:alpha val="75000"/>
            </a:srgbClr>
          </a:solidFill>
        </a:ln>
        <a:effectLst>
          <a:outerShdw blurRad="50800" dist="50800" dir="5400000" sx="5000" sy="5000" algn="ctr" rotWithShape="0">
            <a:srgbClr val="000000">
              <a:alpha val="43137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>
            <a:defRPr/>
          </a:pPr>
          <a:endParaRPr lang="ru-RU" sz="1100" b="1">
            <a:ln>
              <a:noFill/>
            </a:ln>
            <a:solidFill>
              <a:schemeClr val="bg1"/>
            </a:solidFill>
            <a:latin typeface="Segoe UI"/>
            <a:ea typeface="Segoe UI"/>
            <a:cs typeface="Segoe UI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</xdr:rowOff>
    </xdr:from>
    <xdr:to>
      <xdr:col>2</xdr:col>
      <xdr:colOff>1538111</xdr:colOff>
      <xdr:row>5</xdr:row>
      <xdr:rowOff>766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837AEBC6-9712-544D-98E4-A53BD8152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556" y="197557"/>
          <a:ext cx="1862666" cy="19763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c/Downloads/&#1051;&#1080;&#1089;&#1090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12BDAB"/>
  </sheetPr>
  <dimension ref="A1:A9"/>
  <sheetViews>
    <sheetView tabSelected="1" topLeftCell="A7" zoomScale="117" zoomScaleNormal="117" workbookViewId="0">
      <selection activeCell="A6" sqref="A6"/>
    </sheetView>
  </sheetViews>
  <sheetFormatPr baseColWidth="10" defaultColWidth="8.83203125" defaultRowHeight="15"/>
  <cols>
    <col min="1" max="14" width="15.1640625" style="1" customWidth="1"/>
    <col min="15" max="16384" width="8.83203125" style="1"/>
  </cols>
  <sheetData>
    <row r="1" ht="18.75" customHeight="1"/>
    <row r="2" ht="18.75" customHeight="1"/>
    <row r="3" ht="18.75" customHeight="1"/>
    <row r="4" ht="18.75" customHeight="1"/>
    <row r="5" ht="22.5" customHeight="1"/>
    <row r="6" ht="18" customHeight="1"/>
    <row r="7" ht="18.5" customHeight="1"/>
    <row r="8" ht="35.25" customHeight="1"/>
    <row r="9" ht="101.25" customHeight="1"/>
  </sheetData>
  <sheetProtection algorithmName="SHA-512" hashValue="eawyOzkwsqEGdJKKrRF8IZtzVyLolhaTvOSHsWn+IbOcB+G0c6nHqrIg3vlt+ygq/6SlKtvBKAkgzEcDj8/Vqw==" saltValue="G9hlnhHvPtp8MX9KEBw4D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rgb="FF12BDAB"/>
  </sheetPr>
  <dimension ref="B1:J65"/>
  <sheetViews>
    <sheetView topLeftCell="A27" zoomScale="80" zoomScaleNormal="80" workbookViewId="0">
      <selection activeCell="D14" sqref="D14"/>
    </sheetView>
  </sheetViews>
  <sheetFormatPr baseColWidth="10" defaultColWidth="11.5" defaultRowHeight="15"/>
  <cols>
    <col min="1" max="1" width="2.6640625" style="2" customWidth="1"/>
    <col min="2" max="2" width="4.1640625" style="2" customWidth="1"/>
    <col min="3" max="3" width="79.6640625" style="2" customWidth="1"/>
    <col min="4" max="5" width="17.33203125" style="3" customWidth="1"/>
    <col min="6" max="7" width="17" style="3" customWidth="1"/>
    <col min="8" max="8" width="4.1640625" style="3" customWidth="1"/>
    <col min="9" max="10" width="11.5" style="4"/>
    <col min="11" max="16384" width="11.5" style="2"/>
  </cols>
  <sheetData>
    <row r="1" spans="2:10" ht="16" thickBot="1"/>
    <row r="2" spans="2:10" ht="97" customHeight="1">
      <c r="B2" s="149" t="s">
        <v>95</v>
      </c>
      <c r="C2" s="150"/>
      <c r="D2" s="150"/>
      <c r="E2" s="150"/>
      <c r="F2" s="150"/>
      <c r="G2" s="150"/>
      <c r="H2" s="151"/>
    </row>
    <row r="3" spans="2:10" ht="27" customHeight="1">
      <c r="B3" s="152"/>
      <c r="C3" s="153"/>
      <c r="D3" s="153"/>
      <c r="E3" s="153"/>
      <c r="F3" s="153"/>
      <c r="G3" s="153"/>
      <c r="H3" s="154"/>
    </row>
    <row r="4" spans="2:10" ht="17" customHeight="1">
      <c r="B4" s="152"/>
      <c r="C4" s="153"/>
      <c r="D4" s="153"/>
      <c r="E4" s="153"/>
      <c r="F4" s="153"/>
      <c r="G4" s="153"/>
      <c r="H4" s="154"/>
    </row>
    <row r="5" spans="2:10" ht="15" customHeight="1">
      <c r="B5" s="152"/>
      <c r="C5" s="153"/>
      <c r="D5" s="153"/>
      <c r="E5" s="153"/>
      <c r="F5" s="153"/>
      <c r="G5" s="153"/>
      <c r="H5" s="154"/>
    </row>
    <row r="6" spans="2:10" ht="33.5" customHeight="1">
      <c r="B6" s="5"/>
      <c r="C6" s="7" t="s">
        <v>96</v>
      </c>
      <c r="D6" s="146">
        <v>7000</v>
      </c>
      <c r="E6" s="147"/>
      <c r="F6" s="147"/>
      <c r="G6" s="148"/>
      <c r="H6" s="6"/>
    </row>
    <row r="7" spans="2:10" ht="17.25" customHeight="1" thickBot="1">
      <c r="B7" s="8"/>
      <c r="C7" s="145"/>
      <c r="D7" s="145"/>
      <c r="E7" s="145"/>
      <c r="F7" s="145"/>
      <c r="G7" s="9"/>
      <c r="H7" s="10"/>
    </row>
    <row r="8" spans="2:10" ht="45" thickBot="1">
      <c r="B8" s="11"/>
      <c r="C8" s="12" t="s">
        <v>0</v>
      </c>
      <c r="D8" s="13" t="s">
        <v>97</v>
      </c>
      <c r="E8" s="13" t="s">
        <v>1</v>
      </c>
      <c r="F8" s="14" t="s">
        <v>98</v>
      </c>
      <c r="G8" s="15" t="s">
        <v>2</v>
      </c>
      <c r="H8" s="16"/>
      <c r="I8" s="2"/>
      <c r="J8" s="2"/>
    </row>
    <row r="9" spans="2:10" ht="18">
      <c r="B9" s="11"/>
      <c r="C9" s="17" t="s">
        <v>3</v>
      </c>
      <c r="D9" s="142">
        <f>SUM(F10:F11)</f>
        <v>270000</v>
      </c>
      <c r="E9" s="143"/>
      <c r="F9" s="144"/>
      <c r="G9" s="18">
        <f>D9/D6</f>
        <v>38.571428571428569</v>
      </c>
      <c r="H9" s="19"/>
      <c r="I9" s="2"/>
      <c r="J9" s="2"/>
    </row>
    <row r="10" spans="2:10" ht="18">
      <c r="B10" s="11"/>
      <c r="C10" s="20" t="s">
        <v>4</v>
      </c>
      <c r="D10" s="21">
        <v>270000</v>
      </c>
      <c r="E10" s="21">
        <v>1</v>
      </c>
      <c r="F10" s="22">
        <f>D10*E10</f>
        <v>270000</v>
      </c>
      <c r="G10" s="18">
        <f>F10/D6</f>
        <v>38.571428571428569</v>
      </c>
      <c r="H10" s="19"/>
      <c r="I10" s="2"/>
      <c r="J10" s="2"/>
    </row>
    <row r="11" spans="2:10" ht="18">
      <c r="B11" s="11"/>
      <c r="C11" s="20" t="s">
        <v>5</v>
      </c>
      <c r="D11" s="21">
        <v>0</v>
      </c>
      <c r="E11" s="21">
        <v>1</v>
      </c>
      <c r="F11" s="22">
        <f>E11*D11</f>
        <v>0</v>
      </c>
      <c r="G11" s="18">
        <f>F11/D6</f>
        <v>0</v>
      </c>
      <c r="H11" s="19"/>
      <c r="I11" s="2"/>
      <c r="J11" s="2"/>
    </row>
    <row r="12" spans="2:10" ht="18">
      <c r="B12" s="11"/>
      <c r="C12" s="23" t="s">
        <v>6</v>
      </c>
      <c r="D12" s="139">
        <f>F13+F14+F15+E1+F16+F17+F18</f>
        <v>22000000</v>
      </c>
      <c r="E12" s="140"/>
      <c r="F12" s="141"/>
      <c r="G12" s="18">
        <f>D12/D6</f>
        <v>3142.8571428571427</v>
      </c>
      <c r="H12" s="19"/>
      <c r="I12" s="2"/>
      <c r="J12" s="2"/>
    </row>
    <row r="13" spans="2:10" ht="18">
      <c r="B13" s="11"/>
      <c r="C13" s="20" t="s">
        <v>7</v>
      </c>
      <c r="D13" s="24">
        <v>60000</v>
      </c>
      <c r="E13" s="24">
        <v>250</v>
      </c>
      <c r="F13" s="25">
        <f>E13*D13</f>
        <v>15000000</v>
      </c>
      <c r="G13" s="18">
        <f>F13/$D$6</f>
        <v>2142.8571428571427</v>
      </c>
      <c r="H13" s="19"/>
      <c r="I13" s="2"/>
      <c r="J13" s="2"/>
    </row>
    <row r="14" spans="2:10" ht="18">
      <c r="B14" s="11"/>
      <c r="C14" s="20" t="s">
        <v>8</v>
      </c>
      <c r="D14" s="24">
        <v>10000</v>
      </c>
      <c r="E14" s="24">
        <v>250</v>
      </c>
      <c r="F14" s="25">
        <f t="shared" ref="F14:F41" si="0">D14*E14</f>
        <v>2500000</v>
      </c>
      <c r="G14" s="18">
        <f>F14/D6</f>
        <v>357.14285714285717</v>
      </c>
      <c r="H14" s="19"/>
      <c r="I14" s="2"/>
      <c r="J14" s="2"/>
    </row>
    <row r="15" spans="2:10" ht="18">
      <c r="B15" s="11"/>
      <c r="C15" s="20" t="s">
        <v>9</v>
      </c>
      <c r="D15" s="24">
        <v>10000</v>
      </c>
      <c r="E15" s="24">
        <v>200</v>
      </c>
      <c r="F15" s="25">
        <f t="shared" si="0"/>
        <v>2000000</v>
      </c>
      <c r="G15" s="18">
        <f>F15/D6</f>
        <v>285.71428571428572</v>
      </c>
      <c r="H15" s="19"/>
      <c r="I15" s="2"/>
      <c r="J15" s="2"/>
    </row>
    <row r="16" spans="2:10" ht="18">
      <c r="B16" s="11"/>
      <c r="C16" s="20" t="s">
        <v>10</v>
      </c>
      <c r="D16" s="24">
        <v>400000</v>
      </c>
      <c r="E16" s="24">
        <v>1</v>
      </c>
      <c r="F16" s="25">
        <f t="shared" si="0"/>
        <v>400000</v>
      </c>
      <c r="G16" s="18">
        <f>F16/D6</f>
        <v>57.142857142857146</v>
      </c>
      <c r="H16" s="19"/>
      <c r="I16" s="2"/>
      <c r="J16" s="2"/>
    </row>
    <row r="17" spans="2:10" ht="18">
      <c r="B17" s="11"/>
      <c r="C17" s="20" t="s">
        <v>11</v>
      </c>
      <c r="D17" s="21">
        <v>300000</v>
      </c>
      <c r="E17" s="26">
        <v>1</v>
      </c>
      <c r="F17" s="25">
        <f t="shared" si="0"/>
        <v>300000</v>
      </c>
      <c r="G17" s="18">
        <f>F17/D6</f>
        <v>42.857142857142854</v>
      </c>
      <c r="H17" s="19"/>
      <c r="I17" s="2"/>
      <c r="J17" s="2"/>
    </row>
    <row r="18" spans="2:10" ht="18">
      <c r="B18" s="11"/>
      <c r="C18" s="20" t="s">
        <v>12</v>
      </c>
      <c r="D18" s="24">
        <v>1800000</v>
      </c>
      <c r="E18" s="24">
        <v>1</v>
      </c>
      <c r="F18" s="25">
        <f t="shared" si="0"/>
        <v>1800000</v>
      </c>
      <c r="G18" s="18">
        <f>F18/D6</f>
        <v>257.14285714285717</v>
      </c>
      <c r="H18" s="19"/>
      <c r="I18" s="2"/>
      <c r="J18" s="2"/>
    </row>
    <row r="19" spans="2:10" ht="18">
      <c r="B19" s="11"/>
      <c r="C19" s="23" t="s">
        <v>13</v>
      </c>
      <c r="D19" s="139">
        <f>SUM(F20:F21)</f>
        <v>450000</v>
      </c>
      <c r="E19" s="140"/>
      <c r="F19" s="141"/>
      <c r="G19" s="18">
        <f>D19/D6</f>
        <v>64.285714285714292</v>
      </c>
      <c r="H19" s="19"/>
      <c r="I19" s="2"/>
      <c r="J19" s="2"/>
    </row>
    <row r="20" spans="2:10" ht="18">
      <c r="B20" s="11"/>
      <c r="C20" s="20" t="s">
        <v>14</v>
      </c>
      <c r="D20" s="24">
        <v>400000</v>
      </c>
      <c r="E20" s="24">
        <v>1</v>
      </c>
      <c r="F20" s="25">
        <f t="shared" si="0"/>
        <v>400000</v>
      </c>
      <c r="G20" s="18">
        <f>F20/D6</f>
        <v>57.142857142857146</v>
      </c>
      <c r="H20" s="19"/>
      <c r="I20" s="2"/>
      <c r="J20" s="2"/>
    </row>
    <row r="21" spans="2:10" ht="18">
      <c r="B21" s="11"/>
      <c r="C21" s="20" t="s">
        <v>15</v>
      </c>
      <c r="D21" s="24">
        <v>50000</v>
      </c>
      <c r="E21" s="24">
        <v>1</v>
      </c>
      <c r="F21" s="25">
        <f t="shared" si="0"/>
        <v>50000</v>
      </c>
      <c r="G21" s="18">
        <f>D21/D6</f>
        <v>7.1428571428571432</v>
      </c>
      <c r="H21" s="19"/>
      <c r="I21" s="2"/>
      <c r="J21" s="2"/>
    </row>
    <row r="22" spans="2:10" ht="18">
      <c r="B22" s="11"/>
      <c r="C22" s="17" t="s">
        <v>16</v>
      </c>
      <c r="D22" s="139">
        <f>SUM(F23:F29)</f>
        <v>8130000</v>
      </c>
      <c r="E22" s="140"/>
      <c r="F22" s="141"/>
      <c r="G22" s="18">
        <f>D22/D6</f>
        <v>1161.4285714285713</v>
      </c>
      <c r="H22" s="19"/>
      <c r="I22" s="2"/>
      <c r="J22" s="2"/>
    </row>
    <row r="23" spans="2:10" ht="18">
      <c r="B23" s="11"/>
      <c r="C23" s="20" t="s">
        <v>17</v>
      </c>
      <c r="D23" s="21">
        <v>130000</v>
      </c>
      <c r="E23" s="26">
        <v>14</v>
      </c>
      <c r="F23" s="27">
        <f t="shared" si="0"/>
        <v>1820000</v>
      </c>
      <c r="G23" s="18">
        <f>F23/$D$6</f>
        <v>260</v>
      </c>
      <c r="H23" s="19"/>
      <c r="I23" s="2"/>
      <c r="J23" s="2"/>
    </row>
    <row r="24" spans="2:10" ht="18">
      <c r="B24" s="11"/>
      <c r="C24" s="20" t="s">
        <v>112</v>
      </c>
      <c r="D24" s="21">
        <v>20000</v>
      </c>
      <c r="E24" s="26">
        <v>60</v>
      </c>
      <c r="F24" s="27">
        <f>D24*E24</f>
        <v>1200000</v>
      </c>
      <c r="G24" s="18">
        <f>F24/$D$6</f>
        <v>171.42857142857142</v>
      </c>
      <c r="H24" s="19"/>
      <c r="I24" s="2"/>
      <c r="J24" s="2"/>
    </row>
    <row r="25" spans="2:10" ht="18">
      <c r="B25" s="11"/>
      <c r="C25" s="20" t="s">
        <v>18</v>
      </c>
      <c r="D25" s="21">
        <v>100000</v>
      </c>
      <c r="E25" s="26">
        <v>40</v>
      </c>
      <c r="F25" s="27">
        <f t="shared" si="0"/>
        <v>4000000</v>
      </c>
      <c r="G25" s="18">
        <f>F25/$D$6</f>
        <v>571.42857142857144</v>
      </c>
      <c r="H25" s="19"/>
      <c r="I25" s="2"/>
      <c r="J25" s="2"/>
    </row>
    <row r="26" spans="2:10" ht="18">
      <c r="B26" s="11"/>
      <c r="C26" s="20" t="s">
        <v>19</v>
      </c>
      <c r="D26" s="21">
        <v>130000</v>
      </c>
      <c r="E26" s="26">
        <v>2</v>
      </c>
      <c r="F26" s="27">
        <f t="shared" si="0"/>
        <v>260000</v>
      </c>
      <c r="G26" s="18">
        <f>F26/$D$6</f>
        <v>37.142857142857146</v>
      </c>
      <c r="H26" s="19"/>
      <c r="I26" s="2"/>
      <c r="J26" s="2"/>
    </row>
    <row r="27" spans="2:10" ht="18">
      <c r="B27" s="11"/>
      <c r="C27" s="20" t="s">
        <v>20</v>
      </c>
      <c r="D27" s="26">
        <v>150000</v>
      </c>
      <c r="E27" s="26">
        <v>1</v>
      </c>
      <c r="F27" s="27">
        <f t="shared" si="0"/>
        <v>150000</v>
      </c>
      <c r="G27" s="18">
        <f>F27/D6</f>
        <v>21.428571428571427</v>
      </c>
      <c r="H27" s="19"/>
      <c r="I27" s="2"/>
      <c r="J27" s="2"/>
    </row>
    <row r="28" spans="2:10" ht="18">
      <c r="B28" s="11"/>
      <c r="C28" s="20" t="s">
        <v>21</v>
      </c>
      <c r="D28" s="26">
        <v>200000</v>
      </c>
      <c r="E28" s="26">
        <v>1</v>
      </c>
      <c r="F28" s="27">
        <f t="shared" si="0"/>
        <v>200000</v>
      </c>
      <c r="G28" s="18">
        <f>F39/$D$6</f>
        <v>25.714285714285715</v>
      </c>
      <c r="H28" s="19"/>
      <c r="I28" s="2"/>
      <c r="J28" s="2"/>
    </row>
    <row r="29" spans="2:10" ht="18">
      <c r="B29" s="11"/>
      <c r="C29" s="20" t="s">
        <v>22</v>
      </c>
      <c r="D29" s="26">
        <v>500000</v>
      </c>
      <c r="E29" s="26">
        <v>1</v>
      </c>
      <c r="F29" s="27">
        <f t="shared" si="0"/>
        <v>500000</v>
      </c>
      <c r="G29" s="18">
        <f>F40/$D$6</f>
        <v>28.571428571428573</v>
      </c>
      <c r="H29" s="28"/>
      <c r="I29" s="2"/>
      <c r="J29" s="2"/>
    </row>
    <row r="30" spans="2:10" ht="18">
      <c r="B30" s="11"/>
      <c r="C30" s="17" t="s">
        <v>23</v>
      </c>
      <c r="D30" s="139">
        <f>SUM(F31:F37)</f>
        <v>3795000</v>
      </c>
      <c r="E30" s="140"/>
      <c r="F30" s="141"/>
      <c r="G30" s="18">
        <f>D30/D6</f>
        <v>542.14285714285711</v>
      </c>
      <c r="H30" s="28"/>
      <c r="I30" s="2"/>
      <c r="J30" s="2"/>
    </row>
    <row r="31" spans="2:10" ht="18">
      <c r="B31" s="11"/>
      <c r="C31" s="20" t="s">
        <v>24</v>
      </c>
      <c r="D31" s="21">
        <v>1800000</v>
      </c>
      <c r="E31" s="26">
        <v>1</v>
      </c>
      <c r="F31" s="27">
        <f t="shared" si="0"/>
        <v>1800000</v>
      </c>
      <c r="G31" s="18">
        <f t="shared" ref="G31:G37" si="1">F31/$D$6</f>
        <v>257.14285714285717</v>
      </c>
      <c r="H31" s="28"/>
      <c r="I31" s="2"/>
      <c r="J31" s="2"/>
    </row>
    <row r="32" spans="2:10" ht="18">
      <c r="B32" s="11"/>
      <c r="C32" s="20" t="s">
        <v>25</v>
      </c>
      <c r="D32" s="21">
        <v>300000</v>
      </c>
      <c r="E32" s="26">
        <v>1</v>
      </c>
      <c r="F32" s="27">
        <f t="shared" si="0"/>
        <v>300000</v>
      </c>
      <c r="G32" s="18">
        <f t="shared" si="1"/>
        <v>42.857142857142854</v>
      </c>
      <c r="H32" s="28"/>
      <c r="I32" s="2"/>
      <c r="J32" s="2"/>
    </row>
    <row r="33" spans="2:10" ht="18">
      <c r="B33" s="11"/>
      <c r="C33" s="20" t="s">
        <v>26</v>
      </c>
      <c r="D33" s="21">
        <v>18000</v>
      </c>
      <c r="E33" s="26">
        <v>10</v>
      </c>
      <c r="F33" s="27">
        <f t="shared" si="0"/>
        <v>180000</v>
      </c>
      <c r="G33" s="18">
        <f t="shared" si="1"/>
        <v>25.714285714285715</v>
      </c>
      <c r="H33" s="28"/>
      <c r="I33" s="2"/>
      <c r="J33" s="2"/>
    </row>
    <row r="34" spans="2:10" ht="18">
      <c r="B34" s="11"/>
      <c r="C34" s="20" t="s">
        <v>27</v>
      </c>
      <c r="D34" s="21">
        <v>500000</v>
      </c>
      <c r="E34" s="26">
        <v>1</v>
      </c>
      <c r="F34" s="27">
        <f t="shared" si="0"/>
        <v>500000</v>
      </c>
      <c r="G34" s="18">
        <f t="shared" si="1"/>
        <v>71.428571428571431</v>
      </c>
      <c r="H34" s="28"/>
      <c r="I34" s="2"/>
      <c r="J34" s="2"/>
    </row>
    <row r="35" spans="2:10" ht="18">
      <c r="B35" s="11"/>
      <c r="C35" s="20" t="s">
        <v>28</v>
      </c>
      <c r="D35" s="21">
        <v>25000</v>
      </c>
      <c r="E35" s="26">
        <v>1</v>
      </c>
      <c r="F35" s="27">
        <f t="shared" si="0"/>
        <v>25000</v>
      </c>
      <c r="G35" s="18">
        <f t="shared" si="1"/>
        <v>3.5714285714285716</v>
      </c>
      <c r="H35" s="28"/>
      <c r="I35" s="2"/>
      <c r="J35" s="2"/>
    </row>
    <row r="36" spans="2:10" ht="18">
      <c r="B36" s="11"/>
      <c r="C36" s="20" t="s">
        <v>109</v>
      </c>
      <c r="D36" s="21">
        <v>270000</v>
      </c>
      <c r="E36" s="26">
        <v>3</v>
      </c>
      <c r="F36" s="27">
        <f t="shared" si="0"/>
        <v>810000</v>
      </c>
      <c r="G36" s="18">
        <f t="shared" si="1"/>
        <v>115.71428571428571</v>
      </c>
      <c r="H36" s="28"/>
      <c r="I36" s="2"/>
      <c r="J36" s="2"/>
    </row>
    <row r="37" spans="2:10" ht="18">
      <c r="B37" s="11"/>
      <c r="C37" s="20" t="s">
        <v>29</v>
      </c>
      <c r="D37" s="21">
        <v>180000</v>
      </c>
      <c r="E37" s="26">
        <v>1</v>
      </c>
      <c r="F37" s="27">
        <f t="shared" si="0"/>
        <v>180000</v>
      </c>
      <c r="G37" s="18">
        <f t="shared" si="1"/>
        <v>25.714285714285715</v>
      </c>
      <c r="H37" s="28"/>
      <c r="I37" s="2"/>
      <c r="J37" s="2"/>
    </row>
    <row r="38" spans="2:10" ht="18">
      <c r="B38" s="11"/>
      <c r="C38" s="17" t="s">
        <v>30</v>
      </c>
      <c r="D38" s="139">
        <f>SUM(F39:F41)</f>
        <v>700000</v>
      </c>
      <c r="E38" s="140"/>
      <c r="F38" s="141"/>
      <c r="G38" s="18">
        <f>D38/D6</f>
        <v>100</v>
      </c>
      <c r="H38" s="28"/>
      <c r="I38" s="2"/>
      <c r="J38" s="2"/>
    </row>
    <row r="39" spans="2:10" ht="18">
      <c r="B39" s="11"/>
      <c r="C39" s="20" t="s">
        <v>31</v>
      </c>
      <c r="D39" s="21">
        <v>180000</v>
      </c>
      <c r="E39" s="26">
        <v>1</v>
      </c>
      <c r="F39" s="27">
        <f t="shared" si="0"/>
        <v>180000</v>
      </c>
      <c r="G39" s="18">
        <f>F27/$D$6</f>
        <v>21.428571428571427</v>
      </c>
      <c r="H39" s="28"/>
      <c r="I39" s="2"/>
      <c r="J39" s="2"/>
    </row>
    <row r="40" spans="2:10" ht="18">
      <c r="B40" s="11"/>
      <c r="C40" s="20" t="s">
        <v>32</v>
      </c>
      <c r="D40" s="26">
        <v>200000</v>
      </c>
      <c r="E40" s="26">
        <v>1</v>
      </c>
      <c r="F40" s="27">
        <f t="shared" si="0"/>
        <v>200000</v>
      </c>
      <c r="G40" s="18">
        <f>F28/$D$6</f>
        <v>28.571428571428573</v>
      </c>
      <c r="H40" s="28"/>
      <c r="I40" s="2"/>
      <c r="J40" s="2"/>
    </row>
    <row r="41" spans="2:10" ht="18">
      <c r="B41" s="11"/>
      <c r="C41" s="20" t="s">
        <v>33</v>
      </c>
      <c r="D41" s="26">
        <v>80000</v>
      </c>
      <c r="E41" s="26">
        <v>4</v>
      </c>
      <c r="F41" s="27">
        <f t="shared" si="0"/>
        <v>320000</v>
      </c>
      <c r="G41" s="18">
        <f>F41/D6</f>
        <v>45.714285714285715</v>
      </c>
      <c r="H41" s="19"/>
      <c r="I41" s="2"/>
      <c r="J41" s="2"/>
    </row>
    <row r="42" spans="2:10" ht="18">
      <c r="B42" s="11"/>
      <c r="C42" s="17" t="s">
        <v>34</v>
      </c>
      <c r="D42" s="139">
        <f>SUM(F43:F46)</f>
        <v>12975000</v>
      </c>
      <c r="E42" s="140"/>
      <c r="F42" s="141"/>
      <c r="G42" s="18">
        <f>D42/D6</f>
        <v>1853.5714285714287</v>
      </c>
      <c r="H42" s="28"/>
      <c r="I42" s="2"/>
      <c r="J42" s="2"/>
    </row>
    <row r="43" spans="2:10" ht="18">
      <c r="B43" s="11"/>
      <c r="C43" s="20" t="s">
        <v>35</v>
      </c>
      <c r="D43" s="29">
        <v>7000</v>
      </c>
      <c r="E43" s="26">
        <f>E13</f>
        <v>250</v>
      </c>
      <c r="F43" s="27">
        <f>D43*E43*6</f>
        <v>10500000</v>
      </c>
      <c r="G43" s="18">
        <f>F43/$D$6</f>
        <v>1500</v>
      </c>
      <c r="H43" s="19"/>
      <c r="I43" s="2"/>
      <c r="J43" s="2"/>
    </row>
    <row r="44" spans="2:10" ht="18">
      <c r="B44" s="11"/>
      <c r="C44" s="20" t="s">
        <v>36</v>
      </c>
      <c r="D44" s="21">
        <v>400000</v>
      </c>
      <c r="E44" s="26">
        <v>1</v>
      </c>
      <c r="F44" s="27">
        <f t="shared" ref="F44:F47" si="2">D44*E44</f>
        <v>400000</v>
      </c>
      <c r="G44" s="18">
        <f>F44/$D$6</f>
        <v>57.142857142857146</v>
      </c>
      <c r="H44" s="28"/>
      <c r="I44" s="2"/>
      <c r="J44" s="2"/>
    </row>
    <row r="45" spans="2:10" ht="18">
      <c r="B45" s="11"/>
      <c r="C45" s="20" t="s">
        <v>37</v>
      </c>
      <c r="D45" s="21">
        <v>25000</v>
      </c>
      <c r="E45" s="26">
        <v>3</v>
      </c>
      <c r="F45" s="27">
        <f t="shared" si="2"/>
        <v>75000</v>
      </c>
      <c r="G45" s="18">
        <f>F45/$D$6</f>
        <v>10.714285714285714</v>
      </c>
      <c r="H45" s="28"/>
      <c r="I45" s="2"/>
      <c r="J45" s="2"/>
    </row>
    <row r="46" spans="2:10" ht="18">
      <c r="B46" s="11"/>
      <c r="C46" s="20" t="s">
        <v>38</v>
      </c>
      <c r="D46" s="29">
        <v>2000000</v>
      </c>
      <c r="E46" s="26">
        <v>1</v>
      </c>
      <c r="F46" s="27">
        <f t="shared" si="2"/>
        <v>2000000</v>
      </c>
      <c r="G46" s="18">
        <f>F46/$D$6</f>
        <v>285.71428571428572</v>
      </c>
      <c r="H46" s="28"/>
      <c r="I46" s="2"/>
      <c r="J46" s="2"/>
    </row>
    <row r="47" spans="2:10" ht="19" thickBot="1">
      <c r="B47" s="11"/>
      <c r="C47" s="30" t="s">
        <v>39</v>
      </c>
      <c r="D47" s="131">
        <f>750000</f>
        <v>750000</v>
      </c>
      <c r="E47" s="132">
        <v>1</v>
      </c>
      <c r="F47" s="133">
        <f t="shared" si="2"/>
        <v>750000</v>
      </c>
      <c r="G47" s="31">
        <f>F47/$D$6</f>
        <v>107.14285714285714</v>
      </c>
      <c r="H47" s="28"/>
      <c r="I47" s="2"/>
      <c r="J47" s="2"/>
    </row>
    <row r="48" spans="2:10" ht="22" thickBot="1">
      <c r="B48" s="11"/>
      <c r="C48" s="32" t="s">
        <v>40</v>
      </c>
      <c r="D48" s="134">
        <f>D47+D42+D38+D30+D22+D19+D12+D9</f>
        <v>49070000</v>
      </c>
      <c r="E48" s="135"/>
      <c r="F48" s="136"/>
      <c r="G48" s="33">
        <f>D48/D6</f>
        <v>7010</v>
      </c>
      <c r="H48" s="28"/>
      <c r="I48" s="2"/>
      <c r="J48" s="2"/>
    </row>
    <row r="49" spans="2:10">
      <c r="B49" s="11"/>
      <c r="C49" s="34"/>
      <c r="D49" s="34"/>
      <c r="E49" s="34"/>
      <c r="F49" s="34"/>
      <c r="G49" s="34"/>
      <c r="H49" s="28"/>
      <c r="I49" s="2"/>
      <c r="J49" s="2"/>
    </row>
    <row r="50" spans="2:10">
      <c r="B50" s="11"/>
      <c r="C50" s="34"/>
      <c r="D50" s="34"/>
      <c r="E50" s="34"/>
      <c r="F50" s="34"/>
      <c r="G50" s="34"/>
      <c r="H50" s="28"/>
      <c r="I50" s="2"/>
      <c r="J50" s="2"/>
    </row>
    <row r="51" spans="2:10">
      <c r="B51" s="11"/>
      <c r="C51" s="34"/>
      <c r="D51" s="34"/>
      <c r="E51" s="34"/>
      <c r="F51" s="34"/>
      <c r="G51" s="34"/>
      <c r="H51" s="28"/>
      <c r="I51" s="2"/>
      <c r="J51" s="2"/>
    </row>
    <row r="52" spans="2:10">
      <c r="B52" s="11"/>
      <c r="C52" s="34"/>
      <c r="D52" s="34"/>
      <c r="E52" s="34"/>
      <c r="F52" s="34"/>
      <c r="G52" s="34"/>
      <c r="H52" s="28"/>
      <c r="I52" s="2"/>
      <c r="J52" s="2"/>
    </row>
    <row r="53" spans="2:10">
      <c r="B53" s="11"/>
      <c r="C53" s="34"/>
      <c r="D53" s="34"/>
      <c r="E53" s="34"/>
      <c r="F53" s="34"/>
      <c r="G53" s="34"/>
      <c r="H53" s="28"/>
      <c r="I53" s="2"/>
      <c r="J53" s="2"/>
    </row>
    <row r="54" spans="2:10">
      <c r="B54" s="11"/>
      <c r="C54" s="34"/>
      <c r="D54" s="34"/>
      <c r="E54" s="34"/>
      <c r="F54" s="34"/>
      <c r="G54" s="34"/>
      <c r="H54" s="19"/>
      <c r="I54" s="2"/>
      <c r="J54" s="2"/>
    </row>
    <row r="55" spans="2:10" ht="22.5" customHeight="1" thickBot="1">
      <c r="B55" s="35"/>
      <c r="C55" s="137"/>
      <c r="D55" s="137"/>
      <c r="E55" s="137"/>
      <c r="F55" s="137"/>
      <c r="G55" s="36"/>
      <c r="H55" s="37"/>
    </row>
    <row r="65" spans="5:8" ht="18">
      <c r="E65" s="138">
        <f>IF($E$13=150,400000,IF($E$13=200,500000,IF($E$13=250,600000,IF($E$13&gt;250,700000,0))))</f>
        <v>600000</v>
      </c>
      <c r="F65" s="138">
        <v>1</v>
      </c>
      <c r="G65" s="138"/>
      <c r="H65" s="138">
        <f>E65*F65</f>
        <v>600000</v>
      </c>
    </row>
  </sheetData>
  <sheetProtection algorithmName="SHA-512" hashValue="9nRUomOrdM71c1GzOaILWB24NAlCDm3nErpmNXLCq+l0y2eBg5j+pSB+tYbeSpiDKL0AD5BUcw3W5GPAEOBCmg==" saltValue="PwH5vSG6hMR4nhLmbjYvEw==" spinCount="100000" sheet="1" formatCells="0" formatColumns="0" formatRows="0" insertColumns="0" insertRows="0" insertHyperlinks="0" deleteColumns="0" deleteRows="0" sort="0" autoFilter="0" pivotTables="0"/>
  <mergeCells count="14">
    <mergeCell ref="D9:F9"/>
    <mergeCell ref="C7:F7"/>
    <mergeCell ref="D6:G6"/>
    <mergeCell ref="B2:H5"/>
    <mergeCell ref="D12:F12"/>
    <mergeCell ref="D47:F47"/>
    <mergeCell ref="D48:F48"/>
    <mergeCell ref="C55:F55"/>
    <mergeCell ref="E65:H65"/>
    <mergeCell ref="D19:F19"/>
    <mergeCell ref="D22:F22"/>
    <mergeCell ref="D30:F30"/>
    <mergeCell ref="D38:F38"/>
    <mergeCell ref="D42:F42"/>
  </mergeCells>
  <pageMargins left="0.7" right="0.7" top="0.75" bottom="0.75" header="0.3" footer="0.3"/>
  <pageSetup paperSize="9" orientation="portrait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7">
    <tabColor rgb="FF12BDAB"/>
    <pageSetUpPr fitToPage="1"/>
  </sheetPr>
  <dimension ref="B1:U48"/>
  <sheetViews>
    <sheetView showGridLines="0" zoomScale="80" zoomScaleNormal="80" workbookViewId="0"/>
  </sheetViews>
  <sheetFormatPr baseColWidth="10" defaultColWidth="9.1640625" defaultRowHeight="15" customHeight="1"/>
  <cols>
    <col min="1" max="1" width="2.6640625" style="38" customWidth="1"/>
    <col min="2" max="2" width="4.1640625" style="38" customWidth="1"/>
    <col min="3" max="3" width="55.6640625" style="38" customWidth="1"/>
    <col min="4" max="5" width="15.5" style="38" customWidth="1"/>
    <col min="6" max="6" width="15.83203125" style="38" customWidth="1"/>
    <col min="7" max="7" width="15.5" style="38" customWidth="1"/>
    <col min="8" max="18" width="15.83203125" style="38" customWidth="1"/>
    <col min="19" max="19" width="23.6640625" style="38" customWidth="1"/>
    <col min="20" max="20" width="4" style="38" customWidth="1"/>
    <col min="21" max="16384" width="9.1640625" style="38"/>
  </cols>
  <sheetData>
    <row r="1" spans="2:20" ht="15" customHeight="1" thickBot="1"/>
    <row r="2" spans="2:20" ht="97.5" customHeight="1">
      <c r="B2" s="155" t="s">
        <v>100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7"/>
    </row>
    <row r="3" spans="2:20" ht="17" customHeight="1">
      <c r="B3" s="158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60"/>
    </row>
    <row r="4" spans="2:20" ht="15" customHeight="1" thickBot="1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161"/>
      <c r="N4" s="162"/>
      <c r="O4" s="162"/>
      <c r="P4" s="162"/>
      <c r="Q4" s="162"/>
      <c r="R4" s="162"/>
      <c r="S4" s="162"/>
      <c r="T4" s="41"/>
    </row>
    <row r="5" spans="2:20" ht="20" thickBot="1">
      <c r="B5" s="42"/>
      <c r="C5" s="43" t="s">
        <v>42</v>
      </c>
      <c r="D5" s="44">
        <v>1</v>
      </c>
      <c r="E5" s="44">
        <v>2</v>
      </c>
      <c r="F5" s="44">
        <v>3</v>
      </c>
      <c r="G5" s="44">
        <v>4</v>
      </c>
      <c r="H5" s="44">
        <v>5</v>
      </c>
      <c r="I5" s="44">
        <v>6</v>
      </c>
      <c r="J5" s="44">
        <v>7</v>
      </c>
      <c r="K5" s="44">
        <v>8</v>
      </c>
      <c r="L5" s="44">
        <v>9</v>
      </c>
      <c r="M5" s="44">
        <v>10</v>
      </c>
      <c r="N5" s="44">
        <v>11</v>
      </c>
      <c r="O5" s="45">
        <v>12</v>
      </c>
      <c r="P5" s="46">
        <v>13</v>
      </c>
      <c r="Q5" s="46">
        <v>14</v>
      </c>
      <c r="R5" s="46">
        <v>15</v>
      </c>
      <c r="S5" s="46">
        <v>16</v>
      </c>
      <c r="T5" s="47"/>
    </row>
    <row r="6" spans="2:20" ht="17">
      <c r="B6" s="42"/>
      <c r="C6" s="48" t="s">
        <v>43</v>
      </c>
      <c r="D6" s="49">
        <v>40</v>
      </c>
      <c r="E6" s="49">
        <v>42</v>
      </c>
      <c r="F6" s="49">
        <v>44</v>
      </c>
      <c r="G6" s="49">
        <v>45</v>
      </c>
      <c r="H6" s="49">
        <v>46</v>
      </c>
      <c r="I6" s="49">
        <v>47</v>
      </c>
      <c r="J6" s="49">
        <v>48</v>
      </c>
      <c r="K6" s="49">
        <v>49</v>
      </c>
      <c r="L6" s="49">
        <v>50</v>
      </c>
      <c r="M6" s="49">
        <v>52</v>
      </c>
      <c r="N6" s="49">
        <v>54</v>
      </c>
      <c r="O6" s="49">
        <v>56</v>
      </c>
      <c r="P6" s="49">
        <v>58</v>
      </c>
      <c r="Q6" s="49">
        <v>60</v>
      </c>
      <c r="R6" s="49">
        <v>62</v>
      </c>
      <c r="S6" s="49">
        <v>64</v>
      </c>
      <c r="T6" s="47"/>
    </row>
    <row r="7" spans="2:20" ht="17">
      <c r="B7" s="42"/>
      <c r="C7" s="50" t="s">
        <v>44</v>
      </c>
      <c r="D7" s="51">
        <v>5000</v>
      </c>
      <c r="E7" s="51">
        <v>5000</v>
      </c>
      <c r="F7" s="51">
        <v>5000</v>
      </c>
      <c r="G7" s="51">
        <v>5000</v>
      </c>
      <c r="H7" s="51">
        <v>5000</v>
      </c>
      <c r="I7" s="51">
        <v>5000</v>
      </c>
      <c r="J7" s="51">
        <v>5000</v>
      </c>
      <c r="K7" s="51">
        <v>5000</v>
      </c>
      <c r="L7" s="51">
        <v>5000</v>
      </c>
      <c r="M7" s="51">
        <v>5000</v>
      </c>
      <c r="N7" s="51">
        <v>5000</v>
      </c>
      <c r="O7" s="51">
        <v>5000</v>
      </c>
      <c r="P7" s="51">
        <v>5000</v>
      </c>
      <c r="Q7" s="51">
        <v>5000</v>
      </c>
      <c r="R7" s="51">
        <v>5000</v>
      </c>
      <c r="S7" s="51">
        <v>5000</v>
      </c>
      <c r="T7" s="47"/>
    </row>
    <row r="8" spans="2:20" ht="17">
      <c r="B8" s="42"/>
      <c r="C8" s="52" t="s">
        <v>45</v>
      </c>
      <c r="D8" s="53">
        <f>D6*D7</f>
        <v>200000</v>
      </c>
      <c r="E8" s="53">
        <f t="shared" ref="E8:N8" si="0">E6*E7</f>
        <v>210000</v>
      </c>
      <c r="F8" s="53">
        <f t="shared" si="0"/>
        <v>220000</v>
      </c>
      <c r="G8" s="53">
        <f t="shared" si="0"/>
        <v>225000</v>
      </c>
      <c r="H8" s="53">
        <f t="shared" si="0"/>
        <v>230000</v>
      </c>
      <c r="I8" s="53">
        <f t="shared" si="0"/>
        <v>235000</v>
      </c>
      <c r="J8" s="53">
        <f t="shared" si="0"/>
        <v>240000</v>
      </c>
      <c r="K8" s="53">
        <f t="shared" si="0"/>
        <v>245000</v>
      </c>
      <c r="L8" s="53">
        <f t="shared" si="0"/>
        <v>250000</v>
      </c>
      <c r="M8" s="53">
        <f t="shared" si="0"/>
        <v>260000</v>
      </c>
      <c r="N8" s="53">
        <f t="shared" si="0"/>
        <v>270000</v>
      </c>
      <c r="O8" s="53">
        <f>O6*O7</f>
        <v>280000</v>
      </c>
      <c r="P8" s="53">
        <f t="shared" ref="P8:S8" si="1">P6*P7</f>
        <v>290000</v>
      </c>
      <c r="Q8" s="53">
        <f t="shared" si="1"/>
        <v>300000</v>
      </c>
      <c r="R8" s="53">
        <f t="shared" si="1"/>
        <v>310000</v>
      </c>
      <c r="S8" s="53">
        <f t="shared" si="1"/>
        <v>320000</v>
      </c>
      <c r="T8" s="47"/>
    </row>
    <row r="9" spans="2:20" ht="19">
      <c r="B9" s="42"/>
      <c r="C9" s="54" t="s">
        <v>46</v>
      </c>
      <c r="D9" s="55">
        <f>D8*31</f>
        <v>6200000</v>
      </c>
      <c r="E9" s="55">
        <f t="shared" ref="E9:N9" si="2">E8*31</f>
        <v>6510000</v>
      </c>
      <c r="F9" s="55">
        <f t="shared" si="2"/>
        <v>6820000</v>
      </c>
      <c r="G9" s="55">
        <f t="shared" si="2"/>
        <v>6975000</v>
      </c>
      <c r="H9" s="55">
        <f t="shared" si="2"/>
        <v>7130000</v>
      </c>
      <c r="I9" s="55">
        <f t="shared" si="2"/>
        <v>7285000</v>
      </c>
      <c r="J9" s="55">
        <f t="shared" si="2"/>
        <v>7440000</v>
      </c>
      <c r="K9" s="55">
        <f t="shared" si="2"/>
        <v>7595000</v>
      </c>
      <c r="L9" s="55">
        <f t="shared" si="2"/>
        <v>7750000</v>
      </c>
      <c r="M9" s="55">
        <f t="shared" si="2"/>
        <v>8060000</v>
      </c>
      <c r="N9" s="55">
        <f t="shared" si="2"/>
        <v>8370000</v>
      </c>
      <c r="O9" s="55">
        <f>O8*31</f>
        <v>8680000</v>
      </c>
      <c r="P9" s="55">
        <f t="shared" ref="P9:S9" si="3">P8*31</f>
        <v>8990000</v>
      </c>
      <c r="Q9" s="55">
        <f t="shared" si="3"/>
        <v>9300000</v>
      </c>
      <c r="R9" s="55">
        <f t="shared" si="3"/>
        <v>9610000</v>
      </c>
      <c r="S9" s="55">
        <f t="shared" si="3"/>
        <v>9920000</v>
      </c>
      <c r="T9" s="56"/>
    </row>
    <row r="10" spans="2:20" ht="19">
      <c r="B10" s="42"/>
      <c r="C10" s="57" t="s">
        <v>47</v>
      </c>
      <c r="D10" s="58">
        <f>D33+D28+D24+D19+D17+D11</f>
        <v>7225180</v>
      </c>
      <c r="E10" s="58">
        <f t="shared" ref="E10:S10" si="4">E32+E28+E24+E19+E17+E11</f>
        <v>7146398</v>
      </c>
      <c r="F10" s="58">
        <f t="shared" si="4"/>
        <v>4784136</v>
      </c>
      <c r="G10" s="58">
        <f t="shared" si="4"/>
        <v>4846105</v>
      </c>
      <c r="H10" s="58">
        <f t="shared" si="4"/>
        <v>4908074</v>
      </c>
      <c r="I10" s="58">
        <f t="shared" si="4"/>
        <v>4970043</v>
      </c>
      <c r="J10" s="58">
        <f t="shared" si="4"/>
        <v>5032012</v>
      </c>
      <c r="K10" s="58">
        <f t="shared" si="4"/>
        <v>5103981</v>
      </c>
      <c r="L10" s="58">
        <f t="shared" si="4"/>
        <v>5155950</v>
      </c>
      <c r="M10" s="58">
        <f t="shared" si="4"/>
        <v>5279888</v>
      </c>
      <c r="N10" s="58">
        <f t="shared" si="4"/>
        <v>5403826</v>
      </c>
      <c r="O10" s="58">
        <f t="shared" si="4"/>
        <v>5527764</v>
      </c>
      <c r="P10" s="58">
        <f t="shared" si="4"/>
        <v>5661702</v>
      </c>
      <c r="Q10" s="58">
        <f t="shared" si="4"/>
        <v>5775640</v>
      </c>
      <c r="R10" s="58">
        <f t="shared" si="4"/>
        <v>5899578</v>
      </c>
      <c r="S10" s="58">
        <f t="shared" si="4"/>
        <v>6023516</v>
      </c>
      <c r="T10" s="56"/>
    </row>
    <row r="11" spans="2:20" ht="19">
      <c r="B11" s="42"/>
      <c r="C11" s="59" t="s">
        <v>48</v>
      </c>
      <c r="D11" s="60">
        <v>2000000</v>
      </c>
      <c r="E11" s="60">
        <f t="shared" ref="E11:N11" si="5">SUM(E12:E16)</f>
        <v>1929000</v>
      </c>
      <c r="F11" s="60">
        <f t="shared" si="5"/>
        <v>1929000</v>
      </c>
      <c r="G11" s="60">
        <f t="shared" si="5"/>
        <v>1929000</v>
      </c>
      <c r="H11" s="60">
        <f t="shared" si="5"/>
        <v>1929000</v>
      </c>
      <c r="I11" s="60">
        <f t="shared" si="5"/>
        <v>1929000</v>
      </c>
      <c r="J11" s="60">
        <f t="shared" si="5"/>
        <v>1929000</v>
      </c>
      <c r="K11" s="60">
        <f t="shared" si="5"/>
        <v>1939000</v>
      </c>
      <c r="L11" s="60">
        <f t="shared" si="5"/>
        <v>1929000</v>
      </c>
      <c r="M11" s="60">
        <f t="shared" si="5"/>
        <v>1929000</v>
      </c>
      <c r="N11" s="60">
        <f t="shared" si="5"/>
        <v>1929000</v>
      </c>
      <c r="O11" s="60">
        <f>SUM(O12:O16)</f>
        <v>1929000</v>
      </c>
      <c r="P11" s="60">
        <f t="shared" ref="P11:S11" si="6">SUM(P12:P16)</f>
        <v>1939000</v>
      </c>
      <c r="Q11" s="60">
        <f t="shared" si="6"/>
        <v>1929000</v>
      </c>
      <c r="R11" s="60">
        <f t="shared" si="6"/>
        <v>1929000</v>
      </c>
      <c r="S11" s="60">
        <f t="shared" si="6"/>
        <v>1929000</v>
      </c>
      <c r="T11" s="56"/>
    </row>
    <row r="12" spans="2:20" ht="19">
      <c r="B12" s="42"/>
      <c r="C12" s="61" t="s">
        <v>49</v>
      </c>
      <c r="D12" s="62">
        <v>1789000</v>
      </c>
      <c r="E12" s="62">
        <v>1789000</v>
      </c>
      <c r="F12" s="62">
        <v>1789000</v>
      </c>
      <c r="G12" s="62">
        <v>1789000</v>
      </c>
      <c r="H12" s="62">
        <v>1789000</v>
      </c>
      <c r="I12" s="62">
        <v>1789000</v>
      </c>
      <c r="J12" s="62">
        <v>1789000</v>
      </c>
      <c r="K12" s="62">
        <v>1789000</v>
      </c>
      <c r="L12" s="62">
        <v>1789000</v>
      </c>
      <c r="M12" s="62">
        <v>1789000</v>
      </c>
      <c r="N12" s="62">
        <v>1789000</v>
      </c>
      <c r="O12" s="62">
        <v>1789000</v>
      </c>
      <c r="P12" s="62">
        <v>1789000</v>
      </c>
      <c r="Q12" s="62">
        <v>1789000</v>
      </c>
      <c r="R12" s="62">
        <v>1789000</v>
      </c>
      <c r="S12" s="62">
        <v>1789000</v>
      </c>
      <c r="T12" s="56"/>
    </row>
    <row r="13" spans="2:20" ht="19">
      <c r="B13" s="42"/>
      <c r="C13" s="61" t="s">
        <v>50</v>
      </c>
      <c r="D13" s="62">
        <v>130000</v>
      </c>
      <c r="E13" s="62">
        <v>130000</v>
      </c>
      <c r="F13" s="62">
        <v>130000</v>
      </c>
      <c r="G13" s="62">
        <v>130000</v>
      </c>
      <c r="H13" s="62">
        <v>130000</v>
      </c>
      <c r="I13" s="62">
        <v>130000</v>
      </c>
      <c r="J13" s="62">
        <v>130000</v>
      </c>
      <c r="K13" s="62">
        <v>130000</v>
      </c>
      <c r="L13" s="62">
        <v>130000</v>
      </c>
      <c r="M13" s="62">
        <v>130000</v>
      </c>
      <c r="N13" s="62">
        <v>130000</v>
      </c>
      <c r="O13" s="62">
        <v>130000</v>
      </c>
      <c r="P13" s="62">
        <v>130000</v>
      </c>
      <c r="Q13" s="62">
        <v>130000</v>
      </c>
      <c r="R13" s="62">
        <v>130000</v>
      </c>
      <c r="S13" s="62">
        <v>130000</v>
      </c>
      <c r="T13" s="56"/>
    </row>
    <row r="14" spans="2:20" ht="19">
      <c r="B14" s="42"/>
      <c r="C14" s="61" t="s">
        <v>51</v>
      </c>
      <c r="D14" s="62">
        <v>21000</v>
      </c>
      <c r="E14" s="62">
        <v>5000</v>
      </c>
      <c r="F14" s="62">
        <v>5000</v>
      </c>
      <c r="G14" s="62">
        <v>5000</v>
      </c>
      <c r="H14" s="62">
        <v>5000</v>
      </c>
      <c r="I14" s="62">
        <v>5000</v>
      </c>
      <c r="J14" s="62">
        <v>5000</v>
      </c>
      <c r="K14" s="62">
        <v>5000</v>
      </c>
      <c r="L14" s="62">
        <v>5000</v>
      </c>
      <c r="M14" s="62">
        <v>5000</v>
      </c>
      <c r="N14" s="62">
        <v>5000</v>
      </c>
      <c r="O14" s="62">
        <v>5000</v>
      </c>
      <c r="P14" s="62">
        <v>5000</v>
      </c>
      <c r="Q14" s="62">
        <v>5000</v>
      </c>
      <c r="R14" s="62">
        <v>5000</v>
      </c>
      <c r="S14" s="62">
        <v>5000</v>
      </c>
      <c r="T14" s="56"/>
    </row>
    <row r="15" spans="2:20" ht="19">
      <c r="B15" s="42"/>
      <c r="C15" s="61" t="s">
        <v>52</v>
      </c>
      <c r="D15" s="62">
        <v>18000</v>
      </c>
      <c r="E15" s="62">
        <v>5000</v>
      </c>
      <c r="F15" s="62">
        <v>5000</v>
      </c>
      <c r="G15" s="62">
        <v>5000</v>
      </c>
      <c r="H15" s="62">
        <v>5000</v>
      </c>
      <c r="I15" s="62">
        <v>5000</v>
      </c>
      <c r="J15" s="62">
        <v>5000</v>
      </c>
      <c r="K15" s="62">
        <v>5000</v>
      </c>
      <c r="L15" s="62">
        <v>5000</v>
      </c>
      <c r="M15" s="62">
        <v>5000</v>
      </c>
      <c r="N15" s="62">
        <v>5000</v>
      </c>
      <c r="O15" s="62">
        <v>5000</v>
      </c>
      <c r="P15" s="62">
        <v>5000</v>
      </c>
      <c r="Q15" s="62">
        <v>5000</v>
      </c>
      <c r="R15" s="62">
        <v>5000</v>
      </c>
      <c r="S15" s="62">
        <v>5000</v>
      </c>
      <c r="T15" s="56"/>
    </row>
    <row r="16" spans="2:20" ht="19">
      <c r="B16" s="42"/>
      <c r="C16" s="61" t="s">
        <v>53</v>
      </c>
      <c r="D16" s="62"/>
      <c r="E16" s="62"/>
      <c r="F16" s="62"/>
      <c r="G16" s="62"/>
      <c r="H16" s="62"/>
      <c r="I16" s="62"/>
      <c r="J16" s="62"/>
      <c r="K16" s="62">
        <v>10000</v>
      </c>
      <c r="L16" s="62"/>
      <c r="M16" s="62"/>
      <c r="N16" s="62"/>
      <c r="O16" s="62"/>
      <c r="P16" s="62">
        <v>10000</v>
      </c>
      <c r="Q16" s="62"/>
      <c r="R16" s="62"/>
      <c r="S16" s="62"/>
      <c r="T16" s="56"/>
    </row>
    <row r="17" spans="2:20" ht="19">
      <c r="B17" s="42"/>
      <c r="C17" s="59" t="s">
        <v>54</v>
      </c>
      <c r="D17" s="63">
        <v>3688000</v>
      </c>
      <c r="E17" s="63">
        <f t="shared" ref="E17:S17" si="7">SUM(E18:E18)</f>
        <v>3688000</v>
      </c>
      <c r="F17" s="63">
        <f t="shared" si="7"/>
        <v>1257600</v>
      </c>
      <c r="G17" s="63">
        <f t="shared" si="7"/>
        <v>1285500</v>
      </c>
      <c r="H17" s="63">
        <f t="shared" si="7"/>
        <v>1313400</v>
      </c>
      <c r="I17" s="63">
        <f t="shared" si="7"/>
        <v>1341300</v>
      </c>
      <c r="J17" s="63">
        <f t="shared" si="7"/>
        <v>1369200</v>
      </c>
      <c r="K17" s="63">
        <f t="shared" si="7"/>
        <v>1397100</v>
      </c>
      <c r="L17" s="63">
        <f t="shared" si="7"/>
        <v>1425000</v>
      </c>
      <c r="M17" s="63">
        <f t="shared" si="7"/>
        <v>1480800</v>
      </c>
      <c r="N17" s="63">
        <f t="shared" si="7"/>
        <v>1536600</v>
      </c>
      <c r="O17" s="63">
        <f t="shared" si="7"/>
        <v>1592400</v>
      </c>
      <c r="P17" s="63">
        <f t="shared" si="7"/>
        <v>1648200</v>
      </c>
      <c r="Q17" s="63">
        <f t="shared" si="7"/>
        <v>1704000</v>
      </c>
      <c r="R17" s="63">
        <f t="shared" si="7"/>
        <v>1759800</v>
      </c>
      <c r="S17" s="63">
        <f t="shared" si="7"/>
        <v>1815600</v>
      </c>
      <c r="T17" s="56"/>
    </row>
    <row r="18" spans="2:20" ht="19">
      <c r="B18" s="42"/>
      <c r="C18" s="61" t="s">
        <v>99</v>
      </c>
      <c r="D18" s="62">
        <v>3688000</v>
      </c>
      <c r="E18" s="62">
        <v>3688000</v>
      </c>
      <c r="F18" s="62">
        <f t="shared" ref="F18:O18" si="8">(F9*18%)+30000</f>
        <v>1257600</v>
      </c>
      <c r="G18" s="62">
        <f t="shared" si="8"/>
        <v>1285500</v>
      </c>
      <c r="H18" s="62">
        <f t="shared" si="8"/>
        <v>1313400</v>
      </c>
      <c r="I18" s="62">
        <f t="shared" si="8"/>
        <v>1341300</v>
      </c>
      <c r="J18" s="62">
        <f t="shared" si="8"/>
        <v>1369200</v>
      </c>
      <c r="K18" s="62">
        <f t="shared" si="8"/>
        <v>1397100</v>
      </c>
      <c r="L18" s="62">
        <f t="shared" si="8"/>
        <v>1425000</v>
      </c>
      <c r="M18" s="62">
        <f t="shared" si="8"/>
        <v>1480800</v>
      </c>
      <c r="N18" s="62">
        <f t="shared" si="8"/>
        <v>1536600</v>
      </c>
      <c r="O18" s="62">
        <f t="shared" si="8"/>
        <v>1592400</v>
      </c>
      <c r="P18" s="62">
        <f t="shared" ref="P18:S18" si="9">(P9*18%)+30000</f>
        <v>1648200</v>
      </c>
      <c r="Q18" s="62">
        <f t="shared" si="9"/>
        <v>1704000</v>
      </c>
      <c r="R18" s="62">
        <f t="shared" si="9"/>
        <v>1759800</v>
      </c>
      <c r="S18" s="62">
        <f t="shared" si="9"/>
        <v>1815600</v>
      </c>
      <c r="T18" s="56"/>
    </row>
    <row r="19" spans="2:20" ht="19">
      <c r="B19" s="42"/>
      <c r="C19" s="64" t="s">
        <v>57</v>
      </c>
      <c r="D19" s="65">
        <f>SUM(D20:D23)</f>
        <v>1061000</v>
      </c>
      <c r="E19" s="66">
        <f t="shared" ref="E19:N19" si="10">SUM(E20:E23)</f>
        <v>1059050</v>
      </c>
      <c r="F19" s="65">
        <f t="shared" si="10"/>
        <v>1107100</v>
      </c>
      <c r="G19" s="65">
        <f t="shared" si="10"/>
        <v>1131125</v>
      </c>
      <c r="H19" s="65">
        <f t="shared" si="10"/>
        <v>1155150</v>
      </c>
      <c r="I19" s="67">
        <f t="shared" si="10"/>
        <v>1179175</v>
      </c>
      <c r="J19" s="68">
        <f t="shared" si="10"/>
        <v>1203200</v>
      </c>
      <c r="K19" s="65">
        <f t="shared" si="10"/>
        <v>1227225</v>
      </c>
      <c r="L19" s="66">
        <f t="shared" si="10"/>
        <v>1251250</v>
      </c>
      <c r="M19" s="65">
        <f t="shared" si="10"/>
        <v>1299300</v>
      </c>
      <c r="N19" s="66">
        <f t="shared" si="10"/>
        <v>1347350</v>
      </c>
      <c r="O19" s="65">
        <f>SUM(O20:O23)</f>
        <v>1395400</v>
      </c>
      <c r="P19" s="65">
        <f t="shared" ref="P19:S19" si="11">SUM(P20:P23)</f>
        <v>1443450</v>
      </c>
      <c r="Q19" s="66">
        <f t="shared" si="11"/>
        <v>1491500</v>
      </c>
      <c r="R19" s="65">
        <f t="shared" si="11"/>
        <v>1539550</v>
      </c>
      <c r="S19" s="67">
        <f t="shared" si="11"/>
        <v>1587600</v>
      </c>
      <c r="T19" s="56"/>
    </row>
    <row r="20" spans="2:20" ht="19">
      <c r="B20" s="42"/>
      <c r="C20" s="61" t="s">
        <v>58</v>
      </c>
      <c r="D20" s="62">
        <f t="shared" ref="D20:S20" si="12">D9*1%</f>
        <v>62000</v>
      </c>
      <c r="E20" s="62">
        <f t="shared" si="12"/>
        <v>65100</v>
      </c>
      <c r="F20" s="62">
        <f t="shared" si="12"/>
        <v>68200</v>
      </c>
      <c r="G20" s="62">
        <f t="shared" si="12"/>
        <v>69750</v>
      </c>
      <c r="H20" s="62">
        <f t="shared" si="12"/>
        <v>71300</v>
      </c>
      <c r="I20" s="62">
        <f t="shared" si="12"/>
        <v>72850</v>
      </c>
      <c r="J20" s="62">
        <f t="shared" si="12"/>
        <v>74400</v>
      </c>
      <c r="K20" s="62">
        <f t="shared" si="12"/>
        <v>75950</v>
      </c>
      <c r="L20" s="62">
        <f t="shared" si="12"/>
        <v>77500</v>
      </c>
      <c r="M20" s="62">
        <f t="shared" si="12"/>
        <v>80600</v>
      </c>
      <c r="N20" s="62">
        <f t="shared" si="12"/>
        <v>83700</v>
      </c>
      <c r="O20" s="62">
        <f t="shared" si="12"/>
        <v>86800</v>
      </c>
      <c r="P20" s="69">
        <f t="shared" si="12"/>
        <v>89900</v>
      </c>
      <c r="Q20" s="62">
        <f t="shared" si="12"/>
        <v>93000</v>
      </c>
      <c r="R20" s="70">
        <f t="shared" si="12"/>
        <v>96100</v>
      </c>
      <c r="S20" s="71">
        <f t="shared" si="12"/>
        <v>99200</v>
      </c>
      <c r="T20" s="56"/>
    </row>
    <row r="21" spans="2:20" ht="19">
      <c r="B21" s="42"/>
      <c r="C21" s="61" t="s">
        <v>114</v>
      </c>
      <c r="D21" s="62">
        <f t="shared" ref="D21:S21" si="13">D9*40%*35%</f>
        <v>868000</v>
      </c>
      <c r="E21" s="62">
        <f t="shared" si="13"/>
        <v>911400</v>
      </c>
      <c r="F21" s="62">
        <f t="shared" si="13"/>
        <v>954799.99999999988</v>
      </c>
      <c r="G21" s="62">
        <f t="shared" si="13"/>
        <v>976499.99999999988</v>
      </c>
      <c r="H21" s="62">
        <f t="shared" si="13"/>
        <v>998199.99999999988</v>
      </c>
      <c r="I21" s="62">
        <f t="shared" si="13"/>
        <v>1019899.9999999999</v>
      </c>
      <c r="J21" s="62">
        <f t="shared" si="13"/>
        <v>1041599.9999999999</v>
      </c>
      <c r="K21" s="62">
        <f t="shared" si="13"/>
        <v>1063300</v>
      </c>
      <c r="L21" s="62">
        <f t="shared" si="13"/>
        <v>1085000</v>
      </c>
      <c r="M21" s="62">
        <f t="shared" si="13"/>
        <v>1128400</v>
      </c>
      <c r="N21" s="62">
        <f t="shared" si="13"/>
        <v>1171800</v>
      </c>
      <c r="O21" s="62">
        <f t="shared" si="13"/>
        <v>1215200</v>
      </c>
      <c r="P21" s="62">
        <f t="shared" si="13"/>
        <v>1258600</v>
      </c>
      <c r="Q21" s="62">
        <f t="shared" si="13"/>
        <v>1302000</v>
      </c>
      <c r="R21" s="62">
        <f t="shared" si="13"/>
        <v>1345400</v>
      </c>
      <c r="S21" s="62">
        <f t="shared" si="13"/>
        <v>1388800</v>
      </c>
      <c r="T21" s="56"/>
    </row>
    <row r="22" spans="2:20" ht="19">
      <c r="B22" s="42"/>
      <c r="C22" s="61" t="s">
        <v>25</v>
      </c>
      <c r="D22" s="62">
        <v>100000</v>
      </c>
      <c r="E22" s="62">
        <v>50000</v>
      </c>
      <c r="F22" s="62">
        <v>50000</v>
      </c>
      <c r="G22" s="62">
        <v>50000</v>
      </c>
      <c r="H22" s="62">
        <v>50000</v>
      </c>
      <c r="I22" s="62">
        <v>50000</v>
      </c>
      <c r="J22" s="62">
        <v>50000</v>
      </c>
      <c r="K22" s="62">
        <v>50000</v>
      </c>
      <c r="L22" s="62">
        <v>50000</v>
      </c>
      <c r="M22" s="62">
        <v>50000</v>
      </c>
      <c r="N22" s="62">
        <v>50000</v>
      </c>
      <c r="O22" s="62">
        <v>50000</v>
      </c>
      <c r="P22" s="62">
        <v>50000</v>
      </c>
      <c r="Q22" s="62">
        <v>50000</v>
      </c>
      <c r="R22" s="62">
        <v>50000</v>
      </c>
      <c r="S22" s="62">
        <v>50000</v>
      </c>
      <c r="T22" s="56"/>
    </row>
    <row r="23" spans="2:20" ht="19">
      <c r="B23" s="42"/>
      <c r="C23" s="61" t="s">
        <v>60</v>
      </c>
      <c r="D23" s="72">
        <f t="shared" ref="D23:S23" si="14">D9*0.5%</f>
        <v>31000</v>
      </c>
      <c r="E23" s="72">
        <f t="shared" si="14"/>
        <v>32550</v>
      </c>
      <c r="F23" s="72">
        <f t="shared" si="14"/>
        <v>34100</v>
      </c>
      <c r="G23" s="72">
        <f t="shared" si="14"/>
        <v>34875</v>
      </c>
      <c r="H23" s="72">
        <f t="shared" si="14"/>
        <v>35650</v>
      </c>
      <c r="I23" s="72">
        <f t="shared" si="14"/>
        <v>36425</v>
      </c>
      <c r="J23" s="72">
        <f t="shared" si="14"/>
        <v>37200</v>
      </c>
      <c r="K23" s="72">
        <f t="shared" si="14"/>
        <v>37975</v>
      </c>
      <c r="L23" s="72">
        <f t="shared" si="14"/>
        <v>38750</v>
      </c>
      <c r="M23" s="72">
        <f t="shared" si="14"/>
        <v>40300</v>
      </c>
      <c r="N23" s="72">
        <f t="shared" si="14"/>
        <v>41850</v>
      </c>
      <c r="O23" s="72">
        <f t="shared" si="14"/>
        <v>43400</v>
      </c>
      <c r="P23" s="72">
        <f t="shared" si="14"/>
        <v>44950</v>
      </c>
      <c r="Q23" s="72">
        <f t="shared" si="14"/>
        <v>46500</v>
      </c>
      <c r="R23" s="72">
        <f t="shared" si="14"/>
        <v>48050</v>
      </c>
      <c r="S23" s="72">
        <f t="shared" si="14"/>
        <v>49600</v>
      </c>
      <c r="T23" s="56"/>
    </row>
    <row r="24" spans="2:20" ht="19">
      <c r="B24" s="42"/>
      <c r="C24" s="64" t="s">
        <v>61</v>
      </c>
      <c r="D24" s="65">
        <f>SUM(D25:D27)</f>
        <v>350000</v>
      </c>
      <c r="E24" s="66">
        <f t="shared" ref="E24:N24" si="15">SUM(E25:E27)</f>
        <v>365500</v>
      </c>
      <c r="F24" s="65">
        <f t="shared" si="15"/>
        <v>381000</v>
      </c>
      <c r="G24" s="66">
        <f t="shared" si="15"/>
        <v>388750</v>
      </c>
      <c r="H24" s="65">
        <f t="shared" si="15"/>
        <v>396500</v>
      </c>
      <c r="I24" s="66">
        <f t="shared" si="15"/>
        <v>404250</v>
      </c>
      <c r="J24" s="65">
        <f t="shared" si="15"/>
        <v>412000</v>
      </c>
      <c r="K24" s="65">
        <f t="shared" si="15"/>
        <v>419750</v>
      </c>
      <c r="L24" s="66">
        <f t="shared" si="15"/>
        <v>427500</v>
      </c>
      <c r="M24" s="65">
        <f t="shared" si="15"/>
        <v>443000</v>
      </c>
      <c r="N24" s="65">
        <f t="shared" si="15"/>
        <v>458500</v>
      </c>
      <c r="O24" s="66">
        <f>SUM(O25:O27)</f>
        <v>474000</v>
      </c>
      <c r="P24" s="65">
        <f t="shared" ref="P24:S24" si="16">SUM(P25:P27)</f>
        <v>489500</v>
      </c>
      <c r="Q24" s="66">
        <f t="shared" si="16"/>
        <v>505000</v>
      </c>
      <c r="R24" s="65">
        <f t="shared" si="16"/>
        <v>520500</v>
      </c>
      <c r="S24" s="67">
        <f t="shared" si="16"/>
        <v>536000</v>
      </c>
      <c r="T24" s="56"/>
    </row>
    <row r="25" spans="2:20" ht="19">
      <c r="B25" s="42"/>
      <c r="C25" s="61" t="s">
        <v>62</v>
      </c>
      <c r="D25" s="62">
        <v>40000</v>
      </c>
      <c r="E25" s="62">
        <v>40000</v>
      </c>
      <c r="F25" s="62">
        <v>40000</v>
      </c>
      <c r="G25" s="62">
        <v>40000</v>
      </c>
      <c r="H25" s="62">
        <v>40000</v>
      </c>
      <c r="I25" s="62">
        <v>40000</v>
      </c>
      <c r="J25" s="62">
        <v>40000</v>
      </c>
      <c r="K25" s="62">
        <v>40000</v>
      </c>
      <c r="L25" s="62">
        <v>40000</v>
      </c>
      <c r="M25" s="62">
        <v>40000</v>
      </c>
      <c r="N25" s="62">
        <v>40000</v>
      </c>
      <c r="O25" s="62">
        <v>40000</v>
      </c>
      <c r="P25" s="62">
        <v>40000</v>
      </c>
      <c r="Q25" s="62">
        <v>40000</v>
      </c>
      <c r="R25" s="62">
        <v>40000</v>
      </c>
      <c r="S25" s="62">
        <v>40000</v>
      </c>
      <c r="T25" s="56"/>
    </row>
    <row r="26" spans="2:20" ht="19">
      <c r="B26" s="42"/>
      <c r="C26" s="61" t="s">
        <v>63</v>
      </c>
      <c r="D26" s="62">
        <f t="shared" ref="D26:S26" si="17">D9*1%</f>
        <v>62000</v>
      </c>
      <c r="E26" s="62">
        <f t="shared" si="17"/>
        <v>65100</v>
      </c>
      <c r="F26" s="62">
        <f t="shared" si="17"/>
        <v>68200</v>
      </c>
      <c r="G26" s="62">
        <f t="shared" si="17"/>
        <v>69750</v>
      </c>
      <c r="H26" s="62">
        <f t="shared" si="17"/>
        <v>71300</v>
      </c>
      <c r="I26" s="62">
        <f t="shared" si="17"/>
        <v>72850</v>
      </c>
      <c r="J26" s="62">
        <f t="shared" si="17"/>
        <v>74400</v>
      </c>
      <c r="K26" s="62">
        <f t="shared" si="17"/>
        <v>75950</v>
      </c>
      <c r="L26" s="62">
        <f t="shared" si="17"/>
        <v>77500</v>
      </c>
      <c r="M26" s="62">
        <f t="shared" si="17"/>
        <v>80600</v>
      </c>
      <c r="N26" s="62">
        <f t="shared" si="17"/>
        <v>83700</v>
      </c>
      <c r="O26" s="62">
        <f t="shared" si="17"/>
        <v>86800</v>
      </c>
      <c r="P26" s="62">
        <f t="shared" si="17"/>
        <v>89900</v>
      </c>
      <c r="Q26" s="62">
        <f t="shared" si="17"/>
        <v>93000</v>
      </c>
      <c r="R26" s="62">
        <f t="shared" si="17"/>
        <v>96100</v>
      </c>
      <c r="S26" s="62">
        <f t="shared" si="17"/>
        <v>99200</v>
      </c>
      <c r="T26" s="56"/>
    </row>
    <row r="27" spans="2:20" ht="19">
      <c r="B27" s="42"/>
      <c r="C27" s="61" t="s">
        <v>64</v>
      </c>
      <c r="D27" s="73">
        <f t="shared" ref="D27:S27" si="18">D9*4%</f>
        <v>248000</v>
      </c>
      <c r="E27" s="73">
        <f t="shared" si="18"/>
        <v>260400</v>
      </c>
      <c r="F27" s="73">
        <f t="shared" si="18"/>
        <v>272800</v>
      </c>
      <c r="G27" s="73">
        <f t="shared" si="18"/>
        <v>279000</v>
      </c>
      <c r="H27" s="73">
        <f t="shared" si="18"/>
        <v>285200</v>
      </c>
      <c r="I27" s="73">
        <f t="shared" si="18"/>
        <v>291400</v>
      </c>
      <c r="J27" s="73">
        <f t="shared" si="18"/>
        <v>297600</v>
      </c>
      <c r="K27" s="73">
        <f t="shared" si="18"/>
        <v>303800</v>
      </c>
      <c r="L27" s="73">
        <f t="shared" si="18"/>
        <v>310000</v>
      </c>
      <c r="M27" s="73">
        <f t="shared" si="18"/>
        <v>322400</v>
      </c>
      <c r="N27" s="73">
        <f t="shared" si="18"/>
        <v>334800</v>
      </c>
      <c r="O27" s="73">
        <f t="shared" si="18"/>
        <v>347200</v>
      </c>
      <c r="P27" s="73">
        <f t="shared" si="18"/>
        <v>359600</v>
      </c>
      <c r="Q27" s="73">
        <f t="shared" si="18"/>
        <v>372000</v>
      </c>
      <c r="R27" s="73">
        <f t="shared" si="18"/>
        <v>384400</v>
      </c>
      <c r="S27" s="73">
        <f t="shared" si="18"/>
        <v>396800</v>
      </c>
      <c r="T27" s="56"/>
    </row>
    <row r="28" spans="2:20" ht="19">
      <c r="B28" s="42"/>
      <c r="C28" s="64" t="s">
        <v>65</v>
      </c>
      <c r="D28" s="65">
        <f>SUM(D29:D31)</f>
        <v>100260.00000000001</v>
      </c>
      <c r="E28" s="66">
        <f t="shared" ref="E28:N28" si="19">SUM(E29:E31)</f>
        <v>104848.00000000001</v>
      </c>
      <c r="F28" s="65">
        <f t="shared" si="19"/>
        <v>109436.00000000001</v>
      </c>
      <c r="G28" s="65">
        <f t="shared" si="19"/>
        <v>111730.00000000001</v>
      </c>
      <c r="H28" s="65">
        <f t="shared" si="19"/>
        <v>114024.00000000001</v>
      </c>
      <c r="I28" s="65">
        <f t="shared" si="19"/>
        <v>116318.00000000001</v>
      </c>
      <c r="J28" s="65">
        <f t="shared" si="19"/>
        <v>118612.00000000001</v>
      </c>
      <c r="K28" s="65">
        <f t="shared" si="19"/>
        <v>120906.00000000001</v>
      </c>
      <c r="L28" s="65">
        <f t="shared" si="19"/>
        <v>123200.00000000001</v>
      </c>
      <c r="M28" s="65">
        <f t="shared" si="19"/>
        <v>127788.00000000001</v>
      </c>
      <c r="N28" s="67">
        <f t="shared" si="19"/>
        <v>132376</v>
      </c>
      <c r="O28" s="74">
        <f>SUM(O29:O31)</f>
        <v>136964</v>
      </c>
      <c r="P28" s="74">
        <f t="shared" ref="P28:S28" si="20">SUM(P29:P31)</f>
        <v>141552.00000000003</v>
      </c>
      <c r="Q28" s="74">
        <f t="shared" si="20"/>
        <v>146140.00000000003</v>
      </c>
      <c r="R28" s="74">
        <f t="shared" si="20"/>
        <v>150728.00000000003</v>
      </c>
      <c r="S28" s="74">
        <f t="shared" si="20"/>
        <v>155316.00000000003</v>
      </c>
      <c r="T28" s="56"/>
    </row>
    <row r="29" spans="2:20" ht="19">
      <c r="B29" s="42"/>
      <c r="C29" s="61" t="s">
        <v>66</v>
      </c>
      <c r="D29" s="62">
        <v>3500</v>
      </c>
      <c r="E29" s="62">
        <v>3500</v>
      </c>
      <c r="F29" s="62">
        <v>3500</v>
      </c>
      <c r="G29" s="62">
        <v>3500</v>
      </c>
      <c r="H29" s="62">
        <v>3500</v>
      </c>
      <c r="I29" s="62">
        <v>3500</v>
      </c>
      <c r="J29" s="62">
        <v>3500</v>
      </c>
      <c r="K29" s="62">
        <v>3500</v>
      </c>
      <c r="L29" s="62">
        <v>3500</v>
      </c>
      <c r="M29" s="62">
        <v>3500</v>
      </c>
      <c r="N29" s="62">
        <v>3500</v>
      </c>
      <c r="O29" s="62">
        <v>3500</v>
      </c>
      <c r="P29" s="62">
        <v>3500</v>
      </c>
      <c r="Q29" s="62">
        <v>3500</v>
      </c>
      <c r="R29" s="62">
        <v>3500</v>
      </c>
      <c r="S29" s="62">
        <v>3500</v>
      </c>
      <c r="T29" s="56"/>
    </row>
    <row r="30" spans="2:20" ht="19">
      <c r="B30" s="42"/>
      <c r="C30" s="61" t="s">
        <v>67</v>
      </c>
      <c r="D30" s="62">
        <f t="shared" ref="D30:S30" si="21">D9*80%*1.85%</f>
        <v>91760.000000000015</v>
      </c>
      <c r="E30" s="62">
        <f t="shared" si="21"/>
        <v>96348.000000000015</v>
      </c>
      <c r="F30" s="62">
        <f t="shared" si="21"/>
        <v>100936.00000000001</v>
      </c>
      <c r="G30" s="62">
        <f t="shared" si="21"/>
        <v>103230.00000000001</v>
      </c>
      <c r="H30" s="62">
        <f t="shared" si="21"/>
        <v>105524.00000000001</v>
      </c>
      <c r="I30" s="62">
        <f t="shared" si="21"/>
        <v>107818.00000000001</v>
      </c>
      <c r="J30" s="62">
        <f t="shared" si="21"/>
        <v>110112.00000000001</v>
      </c>
      <c r="K30" s="62">
        <f t="shared" si="21"/>
        <v>112406.00000000001</v>
      </c>
      <c r="L30" s="62">
        <f t="shared" si="21"/>
        <v>114700.00000000001</v>
      </c>
      <c r="M30" s="62">
        <f t="shared" si="21"/>
        <v>119288.00000000001</v>
      </c>
      <c r="N30" s="62">
        <f t="shared" si="21"/>
        <v>123876.00000000001</v>
      </c>
      <c r="O30" s="62">
        <f t="shared" si="21"/>
        <v>128464.00000000001</v>
      </c>
      <c r="P30" s="62">
        <f t="shared" si="21"/>
        <v>133052.00000000003</v>
      </c>
      <c r="Q30" s="62">
        <f t="shared" si="21"/>
        <v>137640.00000000003</v>
      </c>
      <c r="R30" s="62">
        <f t="shared" si="21"/>
        <v>142228.00000000003</v>
      </c>
      <c r="S30" s="62">
        <f t="shared" si="21"/>
        <v>146816.00000000003</v>
      </c>
      <c r="T30" s="56"/>
    </row>
    <row r="31" spans="2:20" ht="19">
      <c r="B31" s="42"/>
      <c r="C31" s="61" t="s">
        <v>68</v>
      </c>
      <c r="D31" s="62">
        <v>5000</v>
      </c>
      <c r="E31" s="62">
        <v>5000</v>
      </c>
      <c r="F31" s="62">
        <v>5000</v>
      </c>
      <c r="G31" s="62">
        <v>5000</v>
      </c>
      <c r="H31" s="62">
        <v>5000</v>
      </c>
      <c r="I31" s="62">
        <v>5000</v>
      </c>
      <c r="J31" s="62">
        <v>5000</v>
      </c>
      <c r="K31" s="62">
        <v>5000</v>
      </c>
      <c r="L31" s="62">
        <v>5000</v>
      </c>
      <c r="M31" s="62">
        <v>5000</v>
      </c>
      <c r="N31" s="62">
        <v>5000</v>
      </c>
      <c r="O31" s="62">
        <v>5000</v>
      </c>
      <c r="P31" s="62">
        <v>5000</v>
      </c>
      <c r="Q31" s="62">
        <v>5000</v>
      </c>
      <c r="R31" s="62">
        <v>5000</v>
      </c>
      <c r="S31" s="62">
        <v>5000</v>
      </c>
      <c r="T31" s="56"/>
    </row>
    <row r="32" spans="2:20" ht="19">
      <c r="B32" s="42"/>
      <c r="C32" s="64" t="s">
        <v>69</v>
      </c>
      <c r="D32" s="75"/>
      <c r="E32" s="75"/>
      <c r="F32" s="75"/>
      <c r="G32" s="75"/>
      <c r="H32" s="76"/>
      <c r="I32" s="75"/>
      <c r="J32" s="76"/>
      <c r="K32" s="75"/>
      <c r="L32" s="76"/>
      <c r="M32" s="75"/>
      <c r="N32" s="76"/>
      <c r="O32" s="75"/>
      <c r="P32" s="75"/>
      <c r="Q32" s="75"/>
      <c r="R32" s="77"/>
      <c r="S32" s="78"/>
      <c r="T32" s="56"/>
    </row>
    <row r="33" spans="2:21" ht="19">
      <c r="B33" s="42"/>
      <c r="C33" s="61" t="s">
        <v>70</v>
      </c>
      <c r="D33" s="77">
        <f>(20000*3)*43.2%</f>
        <v>25920.000000000004</v>
      </c>
      <c r="E33" s="77">
        <f t="shared" ref="E33:S33" si="22">(20000*3)*43.2%</f>
        <v>25920.000000000004</v>
      </c>
      <c r="F33" s="77">
        <f t="shared" si="22"/>
        <v>25920.000000000004</v>
      </c>
      <c r="G33" s="77">
        <f t="shared" si="22"/>
        <v>25920.000000000004</v>
      </c>
      <c r="H33" s="77">
        <f t="shared" si="22"/>
        <v>25920.000000000004</v>
      </c>
      <c r="I33" s="77">
        <f t="shared" si="22"/>
        <v>25920.000000000004</v>
      </c>
      <c r="J33" s="77">
        <f t="shared" si="22"/>
        <v>25920.000000000004</v>
      </c>
      <c r="K33" s="77">
        <f t="shared" si="22"/>
        <v>25920.000000000004</v>
      </c>
      <c r="L33" s="77">
        <f t="shared" si="22"/>
        <v>25920.000000000004</v>
      </c>
      <c r="M33" s="77">
        <f t="shared" si="22"/>
        <v>25920.000000000004</v>
      </c>
      <c r="N33" s="77">
        <f t="shared" si="22"/>
        <v>25920.000000000004</v>
      </c>
      <c r="O33" s="77">
        <f t="shared" si="22"/>
        <v>25920.000000000004</v>
      </c>
      <c r="P33" s="77">
        <f t="shared" si="22"/>
        <v>25920.000000000004</v>
      </c>
      <c r="Q33" s="77">
        <f t="shared" si="22"/>
        <v>25920.000000000004</v>
      </c>
      <c r="R33" s="77">
        <f t="shared" si="22"/>
        <v>25920.000000000004</v>
      </c>
      <c r="S33" s="77">
        <f t="shared" si="22"/>
        <v>25920.000000000004</v>
      </c>
      <c r="T33" s="56"/>
    </row>
    <row r="34" spans="2:21" ht="19">
      <c r="B34" s="42"/>
      <c r="C34" s="61" t="s">
        <v>71</v>
      </c>
      <c r="D34" s="62">
        <f t="shared" ref="D34:M34" si="23">(D9-D10)*15%</f>
        <v>-153777</v>
      </c>
      <c r="E34" s="62">
        <f t="shared" si="23"/>
        <v>-95459.7</v>
      </c>
      <c r="F34" s="62">
        <f t="shared" si="23"/>
        <v>305379.59999999998</v>
      </c>
      <c r="G34" s="62">
        <f t="shared" si="23"/>
        <v>319334.25</v>
      </c>
      <c r="H34" s="62">
        <f t="shared" si="23"/>
        <v>333288.89999999997</v>
      </c>
      <c r="I34" s="62">
        <f t="shared" si="23"/>
        <v>347243.55</v>
      </c>
      <c r="J34" s="62">
        <f t="shared" si="23"/>
        <v>361198.2</v>
      </c>
      <c r="K34" s="62">
        <f t="shared" si="23"/>
        <v>373652.85</v>
      </c>
      <c r="L34" s="62">
        <f t="shared" si="23"/>
        <v>389107.5</v>
      </c>
      <c r="M34" s="62">
        <f t="shared" si="23"/>
        <v>417016.8</v>
      </c>
      <c r="N34" s="62">
        <f>(N9-N10)*15%+45582</f>
        <v>490508.1</v>
      </c>
      <c r="O34" s="62">
        <f>(O9-O10)*15%</f>
        <v>472835.39999999997</v>
      </c>
      <c r="P34" s="62">
        <f>(P9-P10)*15%</f>
        <v>499244.69999999995</v>
      </c>
      <c r="Q34" s="62">
        <f>(Q9-Q10)*15%</f>
        <v>528654</v>
      </c>
      <c r="R34" s="62">
        <f>(R9-R10)*15%</f>
        <v>556563.29999999993</v>
      </c>
      <c r="S34" s="62">
        <f>(S9-S10)*15%</f>
        <v>584472.6</v>
      </c>
      <c r="T34" s="56"/>
    </row>
    <row r="35" spans="2:21" ht="15.75" customHeight="1">
      <c r="B35" s="42"/>
      <c r="C35" s="79" t="s">
        <v>72</v>
      </c>
      <c r="D35" s="60">
        <f t="shared" ref="D35:S35" si="24">D9-D10-D34</f>
        <v>-871403</v>
      </c>
      <c r="E35" s="60">
        <f t="shared" si="24"/>
        <v>-540938.30000000005</v>
      </c>
      <c r="F35" s="60">
        <f t="shared" si="24"/>
        <v>1730484.4</v>
      </c>
      <c r="G35" s="60">
        <f t="shared" si="24"/>
        <v>1809560.75</v>
      </c>
      <c r="H35" s="60">
        <f t="shared" si="24"/>
        <v>1888637.1</v>
      </c>
      <c r="I35" s="60">
        <f t="shared" si="24"/>
        <v>1967713.45</v>
      </c>
      <c r="J35" s="60">
        <f t="shared" si="24"/>
        <v>2046789.8</v>
      </c>
      <c r="K35" s="60">
        <f t="shared" si="24"/>
        <v>2117366.15</v>
      </c>
      <c r="L35" s="60">
        <f t="shared" si="24"/>
        <v>2204942.5</v>
      </c>
      <c r="M35" s="60">
        <f t="shared" si="24"/>
        <v>2363095.2000000002</v>
      </c>
      <c r="N35" s="60">
        <f t="shared" si="24"/>
        <v>2475665.9</v>
      </c>
      <c r="O35" s="60">
        <f t="shared" si="24"/>
        <v>2679400.6</v>
      </c>
      <c r="P35" s="60">
        <f t="shared" si="24"/>
        <v>2829053.3</v>
      </c>
      <c r="Q35" s="60">
        <f t="shared" si="24"/>
        <v>2995706</v>
      </c>
      <c r="R35" s="60">
        <f t="shared" si="24"/>
        <v>3153858.7</v>
      </c>
      <c r="S35" s="60">
        <f t="shared" si="24"/>
        <v>3312011.4</v>
      </c>
      <c r="T35" s="80"/>
    </row>
    <row r="36" spans="2:21" ht="15.75" customHeight="1">
      <c r="B36" s="42"/>
      <c r="C36" s="81" t="s">
        <v>73</v>
      </c>
      <c r="D36" s="82">
        <f>Запуск!D48</f>
        <v>49070000</v>
      </c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3"/>
      <c r="Q36" s="84"/>
      <c r="R36" s="84"/>
      <c r="S36" s="84"/>
      <c r="T36" s="56"/>
      <c r="U36" s="38" t="s">
        <v>74</v>
      </c>
    </row>
    <row r="37" spans="2:21" ht="19.5" customHeight="1">
      <c r="B37" s="42"/>
      <c r="C37" s="81" t="s">
        <v>75</v>
      </c>
      <c r="D37" s="58">
        <f>D35-D36</f>
        <v>-49941403</v>
      </c>
      <c r="E37" s="58">
        <f t="shared" ref="E37:N37" si="25">D37+E35</f>
        <v>-50482341.299999997</v>
      </c>
      <c r="F37" s="58">
        <f t="shared" si="25"/>
        <v>-48751856.899999999</v>
      </c>
      <c r="G37" s="58">
        <f>F37+G35</f>
        <v>-46942296.149999999</v>
      </c>
      <c r="H37" s="58">
        <f t="shared" si="25"/>
        <v>-45053659.049999997</v>
      </c>
      <c r="I37" s="58">
        <f t="shared" si="25"/>
        <v>-43085945.599999994</v>
      </c>
      <c r="J37" s="58">
        <f t="shared" si="25"/>
        <v>-41039155.799999997</v>
      </c>
      <c r="K37" s="58">
        <f t="shared" si="25"/>
        <v>-38921789.649999999</v>
      </c>
      <c r="L37" s="58">
        <f t="shared" si="25"/>
        <v>-36716847.149999999</v>
      </c>
      <c r="M37" s="58">
        <f t="shared" si="25"/>
        <v>-34353751.949999996</v>
      </c>
      <c r="N37" s="58">
        <f t="shared" si="25"/>
        <v>-31878086.049999997</v>
      </c>
      <c r="O37" s="85">
        <f>N37+O35</f>
        <v>-29198685.449999996</v>
      </c>
      <c r="P37" s="85">
        <f t="shared" ref="P37:S37" si="26">O37+P35</f>
        <v>-26369632.149999995</v>
      </c>
      <c r="Q37" s="85">
        <f t="shared" si="26"/>
        <v>-23373926.149999995</v>
      </c>
      <c r="R37" s="85">
        <f t="shared" si="26"/>
        <v>-20220067.449999996</v>
      </c>
      <c r="S37" s="85">
        <f t="shared" si="26"/>
        <v>-16908056.049999997</v>
      </c>
      <c r="T37" s="56"/>
    </row>
    <row r="38" spans="2:21" ht="18" customHeight="1">
      <c r="B38" s="42"/>
      <c r="C38" s="86" t="s">
        <v>76</v>
      </c>
      <c r="D38" s="87" t="str">
        <f>IF(D35&lt;0,"",D5)</f>
        <v/>
      </c>
      <c r="E38" s="87" t="str">
        <f t="shared" ref="E38:N38" si="27">IF(E35&lt;0,"",IF(D35&gt;0,"",E5))</f>
        <v/>
      </c>
      <c r="F38" s="87">
        <f t="shared" si="27"/>
        <v>3</v>
      </c>
      <c r="G38" s="88" t="str">
        <f t="shared" si="27"/>
        <v/>
      </c>
      <c r="H38" s="87" t="str">
        <f t="shared" si="27"/>
        <v/>
      </c>
      <c r="I38" s="87" t="str">
        <f t="shared" si="27"/>
        <v/>
      </c>
      <c r="J38" s="87" t="str">
        <f t="shared" si="27"/>
        <v/>
      </c>
      <c r="K38" s="87" t="str">
        <f t="shared" si="27"/>
        <v/>
      </c>
      <c r="L38" s="87" t="str">
        <f t="shared" si="27"/>
        <v/>
      </c>
      <c r="M38" s="87" t="str">
        <f t="shared" si="27"/>
        <v/>
      </c>
      <c r="N38" s="87" t="str">
        <f t="shared" si="27"/>
        <v/>
      </c>
      <c r="O38" s="89"/>
      <c r="P38" s="89"/>
      <c r="Q38" s="89"/>
      <c r="R38" s="89"/>
      <c r="S38" s="89"/>
      <c r="T38" s="56"/>
    </row>
    <row r="39" spans="2:21" ht="19" thickBot="1">
      <c r="B39" s="42"/>
      <c r="C39" s="90" t="s">
        <v>77</v>
      </c>
      <c r="D39" s="91" t="str">
        <f>IF(D37&lt;0,"",D5)</f>
        <v/>
      </c>
      <c r="E39" s="91" t="str">
        <f t="shared" ref="E39:S39" si="28">IF(E37&lt;0,"",IF(D37&gt;0,"",E5))</f>
        <v/>
      </c>
      <c r="F39" s="91" t="str">
        <f t="shared" si="28"/>
        <v/>
      </c>
      <c r="G39" s="91" t="str">
        <f t="shared" si="28"/>
        <v/>
      </c>
      <c r="H39" s="91" t="str">
        <f t="shared" si="28"/>
        <v/>
      </c>
      <c r="I39" s="91" t="str">
        <f t="shared" si="28"/>
        <v/>
      </c>
      <c r="J39" s="91" t="str">
        <f t="shared" si="28"/>
        <v/>
      </c>
      <c r="K39" s="91" t="str">
        <f t="shared" si="28"/>
        <v/>
      </c>
      <c r="L39" s="91" t="str">
        <f t="shared" si="28"/>
        <v/>
      </c>
      <c r="M39" s="91" t="str">
        <f t="shared" si="28"/>
        <v/>
      </c>
      <c r="N39" s="91" t="str">
        <f t="shared" si="28"/>
        <v/>
      </c>
      <c r="O39" s="91" t="str">
        <f t="shared" si="28"/>
        <v/>
      </c>
      <c r="P39" s="91" t="str">
        <f t="shared" si="28"/>
        <v/>
      </c>
      <c r="Q39" s="91" t="str">
        <f t="shared" si="28"/>
        <v/>
      </c>
      <c r="R39" s="91" t="str">
        <f t="shared" si="28"/>
        <v/>
      </c>
      <c r="S39" s="91" t="str">
        <f t="shared" si="28"/>
        <v/>
      </c>
      <c r="T39" s="92"/>
    </row>
    <row r="40" spans="2:21" ht="15" customHeight="1" thickBot="1">
      <c r="B40" s="42"/>
      <c r="C40" s="93"/>
      <c r="D40" s="93"/>
      <c r="E40" s="93"/>
      <c r="F40" s="93"/>
      <c r="G40" s="93"/>
      <c r="H40" s="93"/>
      <c r="I40" s="93"/>
      <c r="J40" s="94"/>
      <c r="K40" s="94"/>
      <c r="L40" s="95"/>
      <c r="M40" s="95"/>
      <c r="N40" s="95"/>
      <c r="O40" s="95"/>
      <c r="P40" s="95"/>
      <c r="Q40" s="95"/>
      <c r="R40" s="95"/>
      <c r="S40" s="95"/>
      <c r="T40" s="96"/>
    </row>
    <row r="41" spans="2:21" ht="16.5" customHeight="1">
      <c r="B41" s="42"/>
      <c r="C41" s="163" t="s">
        <v>78</v>
      </c>
      <c r="D41" s="164"/>
      <c r="E41" s="165"/>
      <c r="F41" s="95"/>
      <c r="G41" s="166" t="s">
        <v>78</v>
      </c>
      <c r="H41" s="167"/>
      <c r="I41" s="167"/>
      <c r="J41" s="168"/>
      <c r="K41" s="97"/>
      <c r="L41" s="98"/>
      <c r="M41" s="99"/>
      <c r="N41" s="100"/>
      <c r="O41" s="100"/>
      <c r="P41" s="100"/>
      <c r="Q41" s="100"/>
      <c r="R41" s="100"/>
      <c r="S41" s="100"/>
      <c r="T41" s="101"/>
    </row>
    <row r="42" spans="2:21" ht="15" customHeight="1">
      <c r="B42" s="42"/>
      <c r="C42" s="169" t="s">
        <v>106</v>
      </c>
      <c r="D42" s="171">
        <f>AVERAGE(D35:R35)</f>
        <v>1923328.8366666667</v>
      </c>
      <c r="E42" s="172"/>
      <c r="F42" s="97"/>
      <c r="G42" s="183" t="s">
        <v>80</v>
      </c>
      <c r="H42" s="184"/>
      <c r="I42" s="187">
        <f>D42/Запуск!D6</f>
        <v>274.76126238095236</v>
      </c>
      <c r="J42" s="188"/>
      <c r="K42" s="97"/>
      <c r="L42" s="98"/>
      <c r="M42" s="99"/>
      <c r="N42" s="100"/>
      <c r="O42" s="100"/>
      <c r="P42" s="100"/>
      <c r="Q42" s="100"/>
      <c r="R42" s="100"/>
      <c r="S42" s="100"/>
      <c r="T42" s="101"/>
    </row>
    <row r="43" spans="2:21" ht="15" customHeight="1">
      <c r="B43" s="42"/>
      <c r="C43" s="180"/>
      <c r="D43" s="181"/>
      <c r="E43" s="182"/>
      <c r="F43" s="97"/>
      <c r="G43" s="185"/>
      <c r="H43" s="186"/>
      <c r="I43" s="187"/>
      <c r="J43" s="188"/>
      <c r="K43" s="97"/>
      <c r="L43" s="98"/>
      <c r="M43" s="99"/>
      <c r="N43" s="100"/>
      <c r="O43" s="100"/>
      <c r="P43" s="100"/>
      <c r="Q43" s="100"/>
      <c r="R43" s="100"/>
      <c r="S43" s="100"/>
      <c r="T43" s="101"/>
    </row>
    <row r="44" spans="2:21" ht="15" customHeight="1">
      <c r="B44" s="42"/>
      <c r="C44" s="169" t="s">
        <v>81</v>
      </c>
      <c r="D44" s="171">
        <f>SUM(D38:S38)</f>
        <v>3</v>
      </c>
      <c r="E44" s="172"/>
      <c r="F44" s="97"/>
      <c r="G44" s="175" t="s">
        <v>81</v>
      </c>
      <c r="H44" s="176"/>
      <c r="I44" s="179">
        <f>D44</f>
        <v>3</v>
      </c>
      <c r="J44" s="176"/>
      <c r="K44" s="97"/>
      <c r="L44" s="98"/>
      <c r="M44" s="99"/>
      <c r="N44" s="100"/>
      <c r="O44" s="100"/>
      <c r="P44" s="100"/>
      <c r="Q44" s="100"/>
      <c r="R44" s="100"/>
      <c r="S44" s="100"/>
      <c r="T44" s="101"/>
    </row>
    <row r="45" spans="2:21" ht="15" customHeight="1">
      <c r="B45" s="42"/>
      <c r="C45" s="180"/>
      <c r="D45" s="181"/>
      <c r="E45" s="182"/>
      <c r="F45" s="97"/>
      <c r="G45" s="177"/>
      <c r="H45" s="178"/>
      <c r="I45" s="177"/>
      <c r="J45" s="178"/>
      <c r="K45" s="97"/>
      <c r="L45" s="98"/>
      <c r="M45" s="99"/>
      <c r="N45" s="100"/>
      <c r="O45" s="100"/>
      <c r="P45" s="100"/>
      <c r="Q45" s="100"/>
      <c r="R45" s="100"/>
      <c r="S45" s="100"/>
      <c r="T45" s="101"/>
    </row>
    <row r="46" spans="2:21" ht="15" customHeight="1">
      <c r="B46" s="42"/>
      <c r="C46" s="169" t="s">
        <v>82</v>
      </c>
      <c r="D46" s="171">
        <f>SUM(D39:S39)</f>
        <v>0</v>
      </c>
      <c r="E46" s="172"/>
      <c r="F46" s="97"/>
      <c r="G46" s="175" t="s">
        <v>82</v>
      </c>
      <c r="H46" s="176"/>
      <c r="I46" s="179">
        <f>D46</f>
        <v>0</v>
      </c>
      <c r="J46" s="176"/>
      <c r="K46" s="97"/>
      <c r="L46" s="98"/>
      <c r="M46" s="102"/>
      <c r="N46" s="102"/>
      <c r="O46" s="102"/>
      <c r="P46" s="102"/>
      <c r="Q46" s="102"/>
      <c r="R46" s="102"/>
      <c r="S46" s="102"/>
      <c r="T46" s="101"/>
    </row>
    <row r="47" spans="2:21" ht="14.25" customHeight="1" thickBot="1">
      <c r="B47" s="42"/>
      <c r="C47" s="170"/>
      <c r="D47" s="173"/>
      <c r="E47" s="174"/>
      <c r="F47" s="97"/>
      <c r="G47" s="177"/>
      <c r="H47" s="178"/>
      <c r="I47" s="177"/>
      <c r="J47" s="178"/>
      <c r="K47" s="97"/>
      <c r="L47" s="103"/>
      <c r="M47" s="103"/>
      <c r="N47" s="102"/>
      <c r="O47" s="102"/>
      <c r="P47" s="102"/>
      <c r="Q47" s="102"/>
      <c r="R47" s="102"/>
      <c r="S47" s="102"/>
      <c r="T47" s="101"/>
    </row>
    <row r="48" spans="2:21" ht="23" customHeight="1" thickBot="1">
      <c r="B48" s="104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6"/>
    </row>
  </sheetData>
  <sheetProtection algorithmName="SHA-512" hashValue="EXcRZ9Yf+WNIp7lNTzoEBA3BxXiiMtXtKLHLEHx1GgNw21oe+ar70RPlRnWxpWcEiZ0V+jkzmN/7ydLz/MJu5Q==" saltValue="srsRSBx+uXNmbhH3VMm+HQ==" spinCount="100000" sheet="1" formatCells="0" formatColumns="0" formatRows="0" insertColumns="0" insertRows="0" insertHyperlinks="0" deleteColumns="0" deleteRows="0" sort="0" autoFilter="0" pivotTables="0"/>
  <mergeCells count="16">
    <mergeCell ref="B2:T3"/>
    <mergeCell ref="M4:S4"/>
    <mergeCell ref="C41:E41"/>
    <mergeCell ref="G41:J41"/>
    <mergeCell ref="C46:C47"/>
    <mergeCell ref="D46:E47"/>
    <mergeCell ref="G46:H47"/>
    <mergeCell ref="I46:J47"/>
    <mergeCell ref="C42:C43"/>
    <mergeCell ref="D42:E43"/>
    <mergeCell ref="G42:H43"/>
    <mergeCell ref="I42:J43"/>
    <mergeCell ref="C44:C45"/>
    <mergeCell ref="D44:E45"/>
    <mergeCell ref="G44:H45"/>
    <mergeCell ref="I44:J45"/>
  </mergeCells>
  <conditionalFormatting sqref="D35:S35 D37:S37">
    <cfRule type="cellIs" dxfId="3" priority="8" operator="lessThan">
      <formula>0</formula>
    </cfRule>
  </conditionalFormatting>
  <dataValidations count="1">
    <dataValidation type="list" allowBlank="1" showInputMessage="1" showErrorMessage="1" sqref="L45 L47" xr:uid="{00000021-00B7-4866-8725-00370090004A}">
      <formula1>"1,2"</formula1>
    </dataValidation>
  </dataValidations>
  <pageMargins left="0.70866141732283472" right="0.70866141732283472" top="0.74803149606299213" bottom="0.74803149606299213" header="0.31496062992125984" footer="0.31496062992125984"/>
  <pageSetup paperSize="9" scale="23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tabColor rgb="FF12BDAB"/>
    <pageSetUpPr fitToPage="1"/>
  </sheetPr>
  <dimension ref="B1:F43"/>
  <sheetViews>
    <sheetView showGridLines="0" topLeftCell="A2" zoomScale="90" zoomScaleNormal="90" workbookViewId="0">
      <selection activeCell="D6" sqref="D6"/>
    </sheetView>
  </sheetViews>
  <sheetFormatPr baseColWidth="10" defaultColWidth="9.1640625" defaultRowHeight="15" customHeight="1"/>
  <cols>
    <col min="1" max="1" width="2.6640625" style="107" customWidth="1"/>
    <col min="2" max="2" width="4.1640625" style="107" customWidth="1"/>
    <col min="3" max="3" width="48.83203125" style="107" customWidth="1"/>
    <col min="4" max="5" width="18.5" style="107" customWidth="1"/>
    <col min="6" max="6" width="4.1640625" style="107" customWidth="1"/>
    <col min="7" max="16384" width="9.1640625" style="107"/>
  </cols>
  <sheetData>
    <row r="1" spans="2:6" ht="15" customHeight="1" thickBot="1"/>
    <row r="2" spans="2:6" ht="97.5" customHeight="1">
      <c r="B2" s="189" t="s">
        <v>101</v>
      </c>
      <c r="C2" s="190"/>
      <c r="D2" s="190"/>
      <c r="E2" s="190"/>
      <c r="F2" s="191"/>
    </row>
    <row r="3" spans="2:6" ht="27.5" customHeight="1">
      <c r="B3" s="192"/>
      <c r="C3" s="193"/>
      <c r="D3" s="193"/>
      <c r="E3" s="193"/>
      <c r="F3" s="194"/>
    </row>
    <row r="4" spans="2:6" ht="17" customHeight="1">
      <c r="B4" s="192"/>
      <c r="C4" s="193"/>
      <c r="D4" s="193"/>
      <c r="E4" s="193"/>
      <c r="F4" s="194"/>
    </row>
    <row r="5" spans="2:6" ht="15" customHeight="1" thickBot="1">
      <c r="B5" s="192"/>
      <c r="C5" s="193"/>
      <c r="D5" s="193"/>
      <c r="E5" s="193"/>
      <c r="F5" s="194"/>
    </row>
    <row r="6" spans="2:6" ht="34" thickBot="1">
      <c r="B6" s="108"/>
      <c r="C6" s="109" t="s">
        <v>83</v>
      </c>
      <c r="D6" s="110">
        <v>5000</v>
      </c>
      <c r="E6" s="111"/>
      <c r="F6" s="112"/>
    </row>
    <row r="7" spans="2:6" ht="28" customHeight="1">
      <c r="B7" s="108"/>
      <c r="C7" s="113"/>
      <c r="D7" s="111"/>
      <c r="E7" s="111"/>
      <c r="F7" s="112"/>
    </row>
    <row r="8" spans="2:6" ht="23">
      <c r="B8" s="108"/>
      <c r="C8" s="113"/>
      <c r="D8" s="114" t="s">
        <v>84</v>
      </c>
      <c r="E8" s="114"/>
      <c r="F8" s="112"/>
    </row>
    <row r="9" spans="2:6" ht="7" customHeight="1" thickBot="1">
      <c r="B9" s="108"/>
      <c r="C9" s="113"/>
      <c r="D9" s="111"/>
      <c r="E9" s="111"/>
      <c r="F9" s="112"/>
    </row>
    <row r="10" spans="2:6" ht="34" thickBot="1">
      <c r="B10" s="108"/>
      <c r="C10" s="109" t="s">
        <v>43</v>
      </c>
      <c r="D10" s="110">
        <v>70</v>
      </c>
      <c r="E10" s="111"/>
      <c r="F10" s="112"/>
    </row>
    <row r="11" spans="2:6" ht="15" customHeight="1">
      <c r="B11" s="108"/>
      <c r="C11" s="115"/>
      <c r="D11" s="115"/>
      <c r="E11" s="115"/>
      <c r="F11" s="116"/>
    </row>
    <row r="12" spans="2:6" ht="15" customHeight="1">
      <c r="B12" s="108"/>
      <c r="C12" s="117"/>
      <c r="D12" s="115"/>
      <c r="E12" s="115"/>
      <c r="F12" s="116"/>
    </row>
    <row r="13" spans="2:6" ht="18">
      <c r="B13" s="108"/>
      <c r="C13" s="115"/>
      <c r="D13" s="114" t="s">
        <v>84</v>
      </c>
      <c r="E13" s="114"/>
      <c r="F13" s="116"/>
    </row>
    <row r="14" spans="2:6" ht="8" customHeight="1" thickBot="1">
      <c r="B14" s="108"/>
      <c r="C14" s="115"/>
      <c r="D14" s="114"/>
      <c r="E14" s="114"/>
      <c r="F14" s="116"/>
    </row>
    <row r="15" spans="2:6" ht="45" thickBot="1">
      <c r="B15" s="118"/>
      <c r="C15" s="119" t="s">
        <v>85</v>
      </c>
      <c r="D15" s="120" t="s">
        <v>102</v>
      </c>
      <c r="E15" s="121" t="s">
        <v>86</v>
      </c>
      <c r="F15" s="122"/>
    </row>
    <row r="16" spans="2:6" ht="19">
      <c r="B16" s="118"/>
      <c r="C16" s="59" t="s">
        <v>87</v>
      </c>
      <c r="D16" s="123">
        <f>D17+D22+D25+D30+D34+D39</f>
        <v>7236850</v>
      </c>
      <c r="E16" s="60">
        <f>D16/Запуск!$D$6</f>
        <v>1033.8357142857142</v>
      </c>
      <c r="F16" s="124"/>
    </row>
    <row r="17" spans="2:6" ht="19">
      <c r="B17" s="118"/>
      <c r="C17" s="59" t="s">
        <v>88</v>
      </c>
      <c r="D17" s="78">
        <f>SUM(D18:D21)</f>
        <v>1958000</v>
      </c>
      <c r="E17" s="60">
        <f>D17/Запуск!$D$6</f>
        <v>279.71428571428572</v>
      </c>
      <c r="F17" s="124"/>
    </row>
    <row r="18" spans="2:6" ht="19">
      <c r="B18" s="118"/>
      <c r="C18" s="61" t="s">
        <v>49</v>
      </c>
      <c r="D18" s="125">
        <f>'Прибыль, окупаемость'!D12</f>
        <v>1789000</v>
      </c>
      <c r="E18" s="60">
        <f>D18/Запуск!$D$6</f>
        <v>255.57142857142858</v>
      </c>
      <c r="F18" s="124"/>
    </row>
    <row r="19" spans="2:6" ht="19">
      <c r="B19" s="118"/>
      <c r="C19" s="61" t="s">
        <v>50</v>
      </c>
      <c r="D19" s="125">
        <f>'Прибыль, окупаемость'!D13</f>
        <v>130000</v>
      </c>
      <c r="E19" s="60">
        <f>D19/Запуск!$D$6</f>
        <v>18.571428571428573</v>
      </c>
      <c r="F19" s="124"/>
    </row>
    <row r="20" spans="2:6" ht="19">
      <c r="B20" s="118"/>
      <c r="C20" s="61" t="s">
        <v>51</v>
      </c>
      <c r="D20" s="125">
        <f>'Прибыль, окупаемость'!D14</f>
        <v>21000</v>
      </c>
      <c r="E20" s="60">
        <f>D20/Запуск!$D$6</f>
        <v>3</v>
      </c>
      <c r="F20" s="124"/>
    </row>
    <row r="21" spans="2:6" ht="19">
      <c r="B21" s="118"/>
      <c r="C21" s="61" t="s">
        <v>52</v>
      </c>
      <c r="D21" s="125">
        <f>'Прибыль, окупаемость'!D15</f>
        <v>18000</v>
      </c>
      <c r="E21" s="60">
        <f>D21/Запуск!$D$6</f>
        <v>2.5714285714285716</v>
      </c>
      <c r="F21" s="124"/>
    </row>
    <row r="22" spans="2:6" ht="19">
      <c r="B22" s="118"/>
      <c r="C22" s="59" t="s">
        <v>54</v>
      </c>
      <c r="D22" s="123">
        <f>SUM(D23:D24)</f>
        <v>1995000</v>
      </c>
      <c r="E22" s="60">
        <f>D22/Запуск!$D$6</f>
        <v>285</v>
      </c>
      <c r="F22" s="124"/>
    </row>
    <row r="23" spans="2:6" ht="19">
      <c r="B23" s="118"/>
      <c r="C23" s="61" t="s">
        <v>55</v>
      </c>
      <c r="D23" s="125">
        <f>D41*18%+30000</f>
        <v>1983000</v>
      </c>
      <c r="E23" s="60">
        <f>D23/Запуск!$D$6</f>
        <v>283.28571428571428</v>
      </c>
      <c r="F23" s="124"/>
    </row>
    <row r="24" spans="2:6" ht="19">
      <c r="B24" s="118"/>
      <c r="C24" s="61" t="s">
        <v>56</v>
      </c>
      <c r="D24" s="125">
        <v>12000</v>
      </c>
      <c r="E24" s="60">
        <f>D24/Запуск!$D$6</f>
        <v>1.7142857142857142</v>
      </c>
      <c r="F24" s="124"/>
    </row>
    <row r="25" spans="2:6" ht="19">
      <c r="B25" s="118"/>
      <c r="C25" s="59" t="s">
        <v>57</v>
      </c>
      <c r="D25" s="123">
        <f>SUM(D26:D29)</f>
        <v>2528050</v>
      </c>
      <c r="E25" s="60">
        <f>D25/Запуск!$D$6</f>
        <v>361.15</v>
      </c>
      <c r="F25" s="124"/>
    </row>
    <row r="26" spans="2:6" ht="19">
      <c r="B26" s="118"/>
      <c r="C26" s="61" t="s">
        <v>58</v>
      </c>
      <c r="D26" s="125">
        <f>D41*1%</f>
        <v>108500</v>
      </c>
      <c r="E26" s="60">
        <f>D26/Запуск!$D$6</f>
        <v>15.5</v>
      </c>
      <c r="F26" s="124"/>
    </row>
    <row r="27" spans="2:6" ht="19">
      <c r="B27" s="118"/>
      <c r="C27" s="61" t="s">
        <v>59</v>
      </c>
      <c r="D27" s="125">
        <f>D41*40%*35%</f>
        <v>1519000</v>
      </c>
      <c r="E27" s="60">
        <f>D27/Запуск!$D$6</f>
        <v>217</v>
      </c>
      <c r="F27" s="124"/>
    </row>
    <row r="28" spans="2:6" ht="19">
      <c r="B28" s="118"/>
      <c r="C28" s="61" t="s">
        <v>25</v>
      </c>
      <c r="D28" s="125">
        <f>D41*60%*13%</f>
        <v>846300</v>
      </c>
      <c r="E28" s="60">
        <f>D28/Запуск!$D$6</f>
        <v>120.9</v>
      </c>
      <c r="F28" s="124"/>
    </row>
    <row r="29" spans="2:6" ht="19">
      <c r="B29" s="118"/>
      <c r="C29" s="61" t="s">
        <v>60</v>
      </c>
      <c r="D29" s="125">
        <f>D41*0.5%</f>
        <v>54250</v>
      </c>
      <c r="E29" s="60">
        <f>D29/Запуск!$D$6</f>
        <v>7.75</v>
      </c>
      <c r="F29" s="124"/>
    </row>
    <row r="30" spans="2:6" ht="19">
      <c r="B30" s="118"/>
      <c r="C30" s="59" t="s">
        <v>61</v>
      </c>
      <c r="D30" s="123">
        <f>SUM(D31:D33)</f>
        <v>560800</v>
      </c>
      <c r="E30" s="60">
        <f>D30/Запуск!$D$6</f>
        <v>80.114285714285714</v>
      </c>
      <c r="F30" s="124"/>
    </row>
    <row r="31" spans="2:6" ht="19">
      <c r="B31" s="118"/>
      <c r="C31" s="61" t="s">
        <v>62</v>
      </c>
      <c r="D31" s="125">
        <v>40000</v>
      </c>
      <c r="E31" s="60">
        <f>D31/Запуск!$D$6</f>
        <v>5.7142857142857144</v>
      </c>
      <c r="F31" s="124"/>
    </row>
    <row r="32" spans="2:6" ht="19">
      <c r="B32" s="118"/>
      <c r="C32" s="61" t="s">
        <v>89</v>
      </c>
      <c r="D32" s="125">
        <f>D41*0.8%</f>
        <v>86800</v>
      </c>
      <c r="E32" s="60">
        <f>D32/Запуск!$D$6</f>
        <v>12.4</v>
      </c>
      <c r="F32" s="124"/>
    </row>
    <row r="33" spans="2:6" ht="19">
      <c r="B33" s="118"/>
      <c r="C33" s="61" t="s">
        <v>64</v>
      </c>
      <c r="D33" s="125">
        <f>D41*4%</f>
        <v>434000</v>
      </c>
      <c r="E33" s="60">
        <f>D33/Запуск!$D$6</f>
        <v>62</v>
      </c>
      <c r="F33" s="124"/>
    </row>
    <row r="34" spans="2:6" ht="19">
      <c r="B34" s="118"/>
      <c r="C34" s="59" t="s">
        <v>65</v>
      </c>
      <c r="D34" s="123">
        <f>SUM(D35:D37)</f>
        <v>169080.00000000003</v>
      </c>
      <c r="E34" s="60">
        <f>D34/Запуск!$D$6</f>
        <v>24.15428571428572</v>
      </c>
      <c r="F34" s="124"/>
    </row>
    <row r="35" spans="2:6" ht="19">
      <c r="B35" s="118"/>
      <c r="C35" s="61" t="s">
        <v>66</v>
      </c>
      <c r="D35" s="125">
        <f>3500</f>
        <v>3500</v>
      </c>
      <c r="E35" s="60">
        <f>D35/Запуск!$D$6</f>
        <v>0.5</v>
      </c>
      <c r="F35" s="124"/>
    </row>
    <row r="36" spans="2:6" ht="19">
      <c r="B36" s="118"/>
      <c r="C36" s="61" t="s">
        <v>67</v>
      </c>
      <c r="D36" s="125">
        <f>(D41*80%)*1.85%</f>
        <v>160580.00000000003</v>
      </c>
      <c r="E36" s="60">
        <f>D36/Запуск!$D$6</f>
        <v>22.940000000000005</v>
      </c>
      <c r="F36" s="124"/>
    </row>
    <row r="37" spans="2:6" ht="19">
      <c r="B37" s="118"/>
      <c r="C37" s="61" t="s">
        <v>68</v>
      </c>
      <c r="D37" s="125">
        <f>5000</f>
        <v>5000</v>
      </c>
      <c r="E37" s="60">
        <f>D37/Запуск!$D$6</f>
        <v>0.7142857142857143</v>
      </c>
      <c r="F37" s="124"/>
    </row>
    <row r="38" spans="2:6" ht="19">
      <c r="B38" s="118"/>
      <c r="C38" s="59" t="s">
        <v>69</v>
      </c>
      <c r="D38" s="123"/>
      <c r="E38" s="60"/>
      <c r="F38" s="124"/>
    </row>
    <row r="39" spans="2:6" ht="19">
      <c r="B39" s="118"/>
      <c r="C39" s="61" t="s">
        <v>70</v>
      </c>
      <c r="D39" s="125">
        <f>'Прибыль, окупаемость'!D33</f>
        <v>25920.000000000004</v>
      </c>
      <c r="E39" s="60">
        <f>D39/Запуск!$D$6</f>
        <v>3.7028571428571433</v>
      </c>
      <c r="F39" s="122"/>
    </row>
    <row r="40" spans="2:6" ht="19">
      <c r="B40" s="118"/>
      <c r="C40" s="61" t="s">
        <v>90</v>
      </c>
      <c r="D40" s="125">
        <f>(D41-D16)*15%</f>
        <v>541972.5</v>
      </c>
      <c r="E40" s="60">
        <f>D40/Запуск!$D$6</f>
        <v>77.424642857142857</v>
      </c>
      <c r="F40" s="122"/>
    </row>
    <row r="41" spans="2:6" ht="19">
      <c r="B41" s="118"/>
      <c r="C41" s="61" t="s">
        <v>91</v>
      </c>
      <c r="D41" s="125">
        <f>D6*D10*31</f>
        <v>10850000</v>
      </c>
      <c r="E41" s="60">
        <f>D41/Запуск!$D$6</f>
        <v>1550</v>
      </c>
      <c r="F41" s="122"/>
    </row>
    <row r="42" spans="2:6" ht="19">
      <c r="B42" s="118"/>
      <c r="C42" s="59" t="s">
        <v>92</v>
      </c>
      <c r="D42" s="126">
        <f>(D41-D16-D40)</f>
        <v>3071177.5</v>
      </c>
      <c r="E42" s="60">
        <f>D42/Запуск!$D$6</f>
        <v>438.73964285714288</v>
      </c>
      <c r="F42" s="122"/>
    </row>
    <row r="43" spans="2:6" ht="22.5" customHeight="1" thickBot="1">
      <c r="B43" s="127"/>
      <c r="C43" s="128"/>
      <c r="D43" s="128"/>
      <c r="E43" s="128"/>
      <c r="F43" s="129"/>
    </row>
  </sheetData>
  <sheetProtection algorithmName="SHA-512" hashValue="ItnoIehixae+SWikyZ4iw8uo9YSE21Jh2gMWIPJyAIHhCPGCrzJ64/PalEEf+zENHlirwUjH5mDMl5GxWyxkHA==" saltValue="PVEYi2esGHrLWSQlbDlCyA==" spinCount="100000" sheet="1" formatCells="0" formatColumns="0" formatRows="0" insertColumns="0" insertRows="0" insertHyperlinks="0" deleteColumns="0" deleteRows="0" sort="0" autoFilter="0" pivotTables="0"/>
  <mergeCells count="1">
    <mergeCell ref="B2:F5"/>
  </mergeCells>
  <conditionalFormatting sqref="D40">
    <cfRule type="cellIs" dxfId="2" priority="1" operator="lessThan">
      <formula>0</formula>
    </cfRule>
  </conditionalFormatting>
  <dataValidations count="2">
    <dataValidation type="list" allowBlank="1" showInputMessage="1" showErrorMessage="1" sqref="D10" xr:uid="{001E0052-0013-46D3-A939-00C2008B002F}">
      <formula1>"18,20,25,30,35,40,45,50,60,70,80,90,100,110,120,130,140,150,160,170,180,190,200"</formula1>
    </dataValidation>
    <dataValidation type="list" allowBlank="1" showInputMessage="1" showErrorMessage="1" sqref="D6" xr:uid="{00C70009-0016-4140-A16E-00F5008900A3}">
      <formula1>"2000,2500,3000,3500,4000,4500,5000"</formula1>
    </dataValidation>
  </dataValidations>
  <pageMargins left="0.70866141732283472" right="0.70866141732283472" top="0.74803149606299213" bottom="0.74803149606299213" header="0.31496062992125984" footer="0.31496062992125984"/>
  <pageSetup paperSize="9" scale="23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tabColor rgb="FF12BDAB"/>
  </sheetPr>
  <dimension ref="B1:J65"/>
  <sheetViews>
    <sheetView zoomScale="80" zoomScaleNormal="80" workbookViewId="0">
      <selection activeCell="B2" sqref="B2:H5"/>
    </sheetView>
  </sheetViews>
  <sheetFormatPr baseColWidth="10" defaultColWidth="11.5" defaultRowHeight="15"/>
  <cols>
    <col min="1" max="1" width="2.6640625" style="2" customWidth="1"/>
    <col min="2" max="2" width="4.1640625" style="2" customWidth="1"/>
    <col min="3" max="3" width="79.6640625" style="2" customWidth="1"/>
    <col min="4" max="5" width="17.33203125" style="3" customWidth="1"/>
    <col min="6" max="7" width="17" style="3" customWidth="1"/>
    <col min="8" max="8" width="9.5" style="3" customWidth="1"/>
    <col min="9" max="10" width="11.5" style="4"/>
    <col min="11" max="16384" width="11.5" style="2"/>
  </cols>
  <sheetData>
    <row r="1" spans="2:10" ht="16" thickBot="1"/>
    <row r="2" spans="2:10" ht="97" customHeight="1">
      <c r="B2" s="149" t="s">
        <v>107</v>
      </c>
      <c r="C2" s="150"/>
      <c r="D2" s="150"/>
      <c r="E2" s="150"/>
      <c r="F2" s="150"/>
      <c r="G2" s="150"/>
      <c r="H2" s="151"/>
    </row>
    <row r="3" spans="2:10" ht="27" customHeight="1">
      <c r="B3" s="152"/>
      <c r="C3" s="153"/>
      <c r="D3" s="153"/>
      <c r="E3" s="153"/>
      <c r="F3" s="153"/>
      <c r="G3" s="153"/>
      <c r="H3" s="154"/>
    </row>
    <row r="4" spans="2:10" ht="17" customHeight="1">
      <c r="B4" s="152"/>
      <c r="C4" s="153"/>
      <c r="D4" s="153"/>
      <c r="E4" s="153"/>
      <c r="F4" s="153"/>
      <c r="G4" s="153"/>
      <c r="H4" s="154"/>
    </row>
    <row r="5" spans="2:10" ht="15" customHeight="1">
      <c r="B5" s="152"/>
      <c r="C5" s="153"/>
      <c r="D5" s="153"/>
      <c r="E5" s="153"/>
      <c r="F5" s="153"/>
      <c r="G5" s="153"/>
      <c r="H5" s="154"/>
    </row>
    <row r="6" spans="2:10" ht="33.5" customHeight="1">
      <c r="B6" s="5"/>
      <c r="C6" s="7" t="s">
        <v>113</v>
      </c>
      <c r="D6" s="146">
        <v>7000</v>
      </c>
      <c r="E6" s="147"/>
      <c r="F6" s="147"/>
      <c r="G6" s="148"/>
      <c r="H6" s="6"/>
    </row>
    <row r="7" spans="2:10" ht="17.25" customHeight="1" thickBot="1">
      <c r="B7" s="8"/>
      <c r="C7" s="145"/>
      <c r="D7" s="145"/>
      <c r="E7" s="145"/>
      <c r="F7" s="145"/>
      <c r="G7" s="9"/>
      <c r="H7" s="10"/>
    </row>
    <row r="8" spans="2:10" ht="45" thickBot="1">
      <c r="B8" s="11"/>
      <c r="C8" s="12" t="s">
        <v>0</v>
      </c>
      <c r="D8" s="13" t="s">
        <v>97</v>
      </c>
      <c r="E8" s="13" t="s">
        <v>1</v>
      </c>
      <c r="F8" s="14" t="s">
        <v>98</v>
      </c>
      <c r="G8" s="15" t="s">
        <v>2</v>
      </c>
      <c r="H8" s="16"/>
      <c r="I8" s="2"/>
      <c r="J8" s="2"/>
    </row>
    <row r="9" spans="2:10" ht="18">
      <c r="B9" s="11"/>
      <c r="C9" s="17" t="s">
        <v>3</v>
      </c>
      <c r="D9" s="142">
        <f>SUM(F10:F11)</f>
        <v>270000</v>
      </c>
      <c r="E9" s="143"/>
      <c r="F9" s="144"/>
      <c r="G9" s="18">
        <f>D9/D6</f>
        <v>38.571428571428569</v>
      </c>
      <c r="H9" s="19"/>
      <c r="I9" s="2"/>
      <c r="J9" s="2"/>
    </row>
    <row r="10" spans="2:10" ht="18">
      <c r="B10" s="11"/>
      <c r="C10" s="20" t="s">
        <v>4</v>
      </c>
      <c r="D10" s="21">
        <v>270000</v>
      </c>
      <c r="E10" s="21">
        <v>1</v>
      </c>
      <c r="F10" s="22">
        <f>D10*E10</f>
        <v>270000</v>
      </c>
      <c r="G10" s="18">
        <f>F10/D6</f>
        <v>38.571428571428569</v>
      </c>
      <c r="H10" s="19"/>
      <c r="I10" s="2"/>
      <c r="J10" s="2"/>
    </row>
    <row r="11" spans="2:10" ht="18">
      <c r="B11" s="11"/>
      <c r="C11" s="20" t="s">
        <v>5</v>
      </c>
      <c r="D11" s="21">
        <v>0</v>
      </c>
      <c r="E11" s="21">
        <v>1</v>
      </c>
      <c r="F11" s="22">
        <f>E11*D11</f>
        <v>0</v>
      </c>
      <c r="G11" s="18">
        <f>F11/D6</f>
        <v>0</v>
      </c>
      <c r="H11" s="19"/>
      <c r="I11" s="2"/>
      <c r="J11" s="2"/>
    </row>
    <row r="12" spans="2:10" ht="18">
      <c r="B12" s="11"/>
      <c r="C12" s="23" t="s">
        <v>6</v>
      </c>
      <c r="D12" s="139">
        <f>SUM(F13:F18)</f>
        <v>22000000</v>
      </c>
      <c r="E12" s="140"/>
      <c r="F12" s="141"/>
      <c r="G12" s="18">
        <f>D12/D6</f>
        <v>3142.8571428571427</v>
      </c>
      <c r="H12" s="19"/>
      <c r="I12" s="2"/>
      <c r="J12" s="2"/>
    </row>
    <row r="13" spans="2:10" ht="18">
      <c r="B13" s="11"/>
      <c r="C13" s="20" t="s">
        <v>7</v>
      </c>
      <c r="D13" s="24">
        <v>60000</v>
      </c>
      <c r="E13" s="24">
        <v>250</v>
      </c>
      <c r="F13" s="25">
        <f>E13*D13</f>
        <v>15000000</v>
      </c>
      <c r="G13" s="18">
        <f>F13/$D$6</f>
        <v>2142.8571428571427</v>
      </c>
      <c r="H13" s="19"/>
      <c r="I13" s="2"/>
      <c r="J13" s="2"/>
    </row>
    <row r="14" spans="2:10" ht="18">
      <c r="B14" s="11"/>
      <c r="C14" s="20" t="s">
        <v>8</v>
      </c>
      <c r="D14" s="24">
        <v>10000</v>
      </c>
      <c r="E14" s="24">
        <v>250</v>
      </c>
      <c r="F14" s="25">
        <f t="shared" ref="F14:F41" si="0">D14*E14</f>
        <v>2500000</v>
      </c>
      <c r="G14" s="18">
        <f>F14/D6</f>
        <v>357.14285714285717</v>
      </c>
      <c r="H14" s="19"/>
      <c r="I14" s="2"/>
      <c r="J14" s="2"/>
    </row>
    <row r="15" spans="2:10" ht="18">
      <c r="B15" s="11"/>
      <c r="C15" s="20" t="s">
        <v>9</v>
      </c>
      <c r="D15" s="24">
        <v>10000</v>
      </c>
      <c r="E15" s="24">
        <v>200</v>
      </c>
      <c r="F15" s="25">
        <f t="shared" si="0"/>
        <v>2000000</v>
      </c>
      <c r="G15" s="18">
        <f>F15/D6</f>
        <v>285.71428571428572</v>
      </c>
      <c r="H15" s="19"/>
      <c r="I15" s="2"/>
      <c r="J15" s="2"/>
    </row>
    <row r="16" spans="2:10" ht="18">
      <c r="B16" s="11"/>
      <c r="C16" s="20" t="s">
        <v>10</v>
      </c>
      <c r="D16" s="24">
        <v>400000</v>
      </c>
      <c r="E16" s="24">
        <v>1</v>
      </c>
      <c r="F16" s="25">
        <f t="shared" si="0"/>
        <v>400000</v>
      </c>
      <c r="G16" s="18">
        <f>F16/D6</f>
        <v>57.142857142857146</v>
      </c>
      <c r="H16" s="19"/>
      <c r="I16" s="2"/>
      <c r="J16" s="2"/>
    </row>
    <row r="17" spans="2:10" ht="18">
      <c r="B17" s="11"/>
      <c r="C17" s="20" t="s">
        <v>11</v>
      </c>
      <c r="D17" s="21">
        <v>300000</v>
      </c>
      <c r="E17" s="26">
        <v>1</v>
      </c>
      <c r="F17" s="25">
        <f t="shared" si="0"/>
        <v>300000</v>
      </c>
      <c r="G17" s="18">
        <f>F17/D6</f>
        <v>42.857142857142854</v>
      </c>
      <c r="H17" s="19"/>
      <c r="I17" s="2"/>
      <c r="J17" s="2"/>
    </row>
    <row r="18" spans="2:10" ht="18">
      <c r="B18" s="11"/>
      <c r="C18" s="20" t="s">
        <v>12</v>
      </c>
      <c r="D18" s="24">
        <v>1800000</v>
      </c>
      <c r="E18" s="24">
        <v>1</v>
      </c>
      <c r="F18" s="25">
        <f t="shared" si="0"/>
        <v>1800000</v>
      </c>
      <c r="G18" s="18">
        <f>F18/D6</f>
        <v>257.14285714285717</v>
      </c>
      <c r="H18" s="19"/>
      <c r="I18" s="2"/>
      <c r="J18" s="2"/>
    </row>
    <row r="19" spans="2:10" ht="18">
      <c r="B19" s="11"/>
      <c r="C19" s="23" t="s">
        <v>13</v>
      </c>
      <c r="D19" s="139">
        <f>SUM(F20:F21)</f>
        <v>450000</v>
      </c>
      <c r="E19" s="140"/>
      <c r="F19" s="141"/>
      <c r="G19" s="18">
        <f>D19/D6</f>
        <v>64.285714285714292</v>
      </c>
      <c r="H19" s="19"/>
      <c r="I19" s="2"/>
      <c r="J19" s="2"/>
    </row>
    <row r="20" spans="2:10" ht="18">
      <c r="B20" s="11"/>
      <c r="C20" s="20" t="s">
        <v>14</v>
      </c>
      <c r="D20" s="24">
        <v>400000</v>
      </c>
      <c r="E20" s="24">
        <v>1</v>
      </c>
      <c r="F20" s="25">
        <f t="shared" si="0"/>
        <v>400000</v>
      </c>
      <c r="G20" s="18">
        <f>F20/D6</f>
        <v>57.142857142857146</v>
      </c>
      <c r="H20" s="19"/>
      <c r="I20" s="2"/>
      <c r="J20" s="2"/>
    </row>
    <row r="21" spans="2:10" ht="18">
      <c r="B21" s="11"/>
      <c r="C21" s="20" t="s">
        <v>15</v>
      </c>
      <c r="D21" s="24">
        <v>50000</v>
      </c>
      <c r="E21" s="24">
        <v>1</v>
      </c>
      <c r="F21" s="25">
        <f t="shared" si="0"/>
        <v>50000</v>
      </c>
      <c r="G21" s="18">
        <f>D21/D6</f>
        <v>7.1428571428571432</v>
      </c>
      <c r="H21" s="19"/>
      <c r="I21" s="2"/>
      <c r="J21" s="2"/>
    </row>
    <row r="22" spans="2:10" ht="18">
      <c r="B22" s="11"/>
      <c r="C22" s="17" t="s">
        <v>16</v>
      </c>
      <c r="D22" s="139">
        <f>SUM(F23:F29)</f>
        <v>8130000</v>
      </c>
      <c r="E22" s="140"/>
      <c r="F22" s="141"/>
      <c r="G22" s="18">
        <f>D22/D6</f>
        <v>1161.4285714285713</v>
      </c>
      <c r="H22" s="19"/>
      <c r="I22" s="2"/>
      <c r="J22" s="2"/>
    </row>
    <row r="23" spans="2:10" ht="18">
      <c r="B23" s="11"/>
      <c r="C23" s="20" t="s">
        <v>17</v>
      </c>
      <c r="D23" s="21">
        <v>130000</v>
      </c>
      <c r="E23" s="26">
        <v>14</v>
      </c>
      <c r="F23" s="27">
        <f t="shared" si="0"/>
        <v>1820000</v>
      </c>
      <c r="G23" s="18">
        <f>F23/$D$6</f>
        <v>260</v>
      </c>
      <c r="H23" s="19"/>
      <c r="I23" s="2"/>
      <c r="J23" s="2"/>
    </row>
    <row r="24" spans="2:10" ht="18">
      <c r="B24" s="11"/>
      <c r="C24" s="20" t="s">
        <v>110</v>
      </c>
      <c r="D24" s="21">
        <v>20000</v>
      </c>
      <c r="E24" s="26">
        <v>60</v>
      </c>
      <c r="F24" s="27">
        <f>D24*E24</f>
        <v>1200000</v>
      </c>
      <c r="G24" s="18">
        <f>F24/$D$6</f>
        <v>171.42857142857142</v>
      </c>
      <c r="H24" s="19"/>
      <c r="I24" s="2"/>
      <c r="J24" s="2"/>
    </row>
    <row r="25" spans="2:10" ht="18">
      <c r="B25" s="11"/>
      <c r="C25" s="20" t="s">
        <v>18</v>
      </c>
      <c r="D25" s="21">
        <v>100000</v>
      </c>
      <c r="E25" s="26">
        <v>40</v>
      </c>
      <c r="F25" s="27">
        <f t="shared" si="0"/>
        <v>4000000</v>
      </c>
      <c r="G25" s="18">
        <f>F25/$D$6</f>
        <v>571.42857142857144</v>
      </c>
      <c r="H25" s="19"/>
      <c r="I25" s="2"/>
      <c r="J25" s="2"/>
    </row>
    <row r="26" spans="2:10" ht="18">
      <c r="B26" s="11"/>
      <c r="C26" s="20" t="s">
        <v>19</v>
      </c>
      <c r="D26" s="21">
        <v>130000</v>
      </c>
      <c r="E26" s="26">
        <v>2</v>
      </c>
      <c r="F26" s="27">
        <f t="shared" si="0"/>
        <v>260000</v>
      </c>
      <c r="G26" s="18">
        <f>F26/$D$6</f>
        <v>37.142857142857146</v>
      </c>
      <c r="H26" s="19"/>
      <c r="I26" s="2"/>
      <c r="J26" s="2"/>
    </row>
    <row r="27" spans="2:10" ht="18">
      <c r="B27" s="11"/>
      <c r="C27" s="20" t="s">
        <v>20</v>
      </c>
      <c r="D27" s="26">
        <v>150000</v>
      </c>
      <c r="E27" s="26">
        <v>1</v>
      </c>
      <c r="F27" s="27">
        <f t="shared" si="0"/>
        <v>150000</v>
      </c>
      <c r="G27" s="18">
        <f>F27/D6</f>
        <v>21.428571428571427</v>
      </c>
      <c r="H27" s="19"/>
      <c r="I27" s="2"/>
      <c r="J27" s="2"/>
    </row>
    <row r="28" spans="2:10" ht="18">
      <c r="B28" s="11"/>
      <c r="C28" s="20" t="s">
        <v>21</v>
      </c>
      <c r="D28" s="26">
        <v>200000</v>
      </c>
      <c r="E28" s="26">
        <v>1</v>
      </c>
      <c r="F28" s="27">
        <f t="shared" si="0"/>
        <v>200000</v>
      </c>
      <c r="G28" s="18">
        <f>F39/$D$6</f>
        <v>25.714285714285715</v>
      </c>
      <c r="H28" s="19"/>
      <c r="I28" s="2"/>
      <c r="J28" s="2"/>
    </row>
    <row r="29" spans="2:10" ht="18">
      <c r="B29" s="11"/>
      <c r="C29" s="20" t="s">
        <v>22</v>
      </c>
      <c r="D29" s="26">
        <v>500000</v>
      </c>
      <c r="E29" s="26">
        <v>1</v>
      </c>
      <c r="F29" s="27">
        <f t="shared" si="0"/>
        <v>500000</v>
      </c>
      <c r="G29" s="18">
        <f>F40/$D$6</f>
        <v>28.571428571428573</v>
      </c>
      <c r="H29" s="28"/>
      <c r="I29" s="2"/>
      <c r="J29" s="2"/>
    </row>
    <row r="30" spans="2:10" ht="18">
      <c r="B30" s="11"/>
      <c r="C30" s="17" t="s">
        <v>23</v>
      </c>
      <c r="D30" s="139">
        <f>SUM(F31:F37)</f>
        <v>3795000</v>
      </c>
      <c r="E30" s="140"/>
      <c r="F30" s="141"/>
      <c r="G30" s="18">
        <f>D30/D6</f>
        <v>542.14285714285711</v>
      </c>
      <c r="H30" s="28"/>
      <c r="I30" s="2"/>
      <c r="J30" s="2"/>
    </row>
    <row r="31" spans="2:10" ht="18">
      <c r="B31" s="11"/>
      <c r="C31" s="20" t="s">
        <v>24</v>
      </c>
      <c r="D31" s="21">
        <v>1800000</v>
      </c>
      <c r="E31" s="26">
        <v>1</v>
      </c>
      <c r="F31" s="27">
        <f t="shared" si="0"/>
        <v>1800000</v>
      </c>
      <c r="G31" s="18">
        <f t="shared" ref="G31:G37" si="1">F31/$D$6</f>
        <v>257.14285714285717</v>
      </c>
      <c r="H31" s="28"/>
      <c r="I31" s="2"/>
      <c r="J31" s="2"/>
    </row>
    <row r="32" spans="2:10" ht="18">
      <c r="B32" s="11"/>
      <c r="C32" s="20" t="s">
        <v>25</v>
      </c>
      <c r="D32" s="21">
        <v>300000</v>
      </c>
      <c r="E32" s="26">
        <v>1</v>
      </c>
      <c r="F32" s="27">
        <f t="shared" si="0"/>
        <v>300000</v>
      </c>
      <c r="G32" s="18">
        <f t="shared" si="1"/>
        <v>42.857142857142854</v>
      </c>
      <c r="H32" s="28"/>
      <c r="I32" s="2"/>
      <c r="J32" s="2"/>
    </row>
    <row r="33" spans="2:10" ht="18">
      <c r="B33" s="11"/>
      <c r="C33" s="20" t="s">
        <v>26</v>
      </c>
      <c r="D33" s="21">
        <v>18000</v>
      </c>
      <c r="E33" s="26">
        <v>10</v>
      </c>
      <c r="F33" s="27">
        <f t="shared" si="0"/>
        <v>180000</v>
      </c>
      <c r="G33" s="18">
        <f t="shared" si="1"/>
        <v>25.714285714285715</v>
      </c>
      <c r="H33" s="28"/>
      <c r="I33" s="2"/>
      <c r="J33" s="2"/>
    </row>
    <row r="34" spans="2:10" ht="18">
      <c r="B34" s="11"/>
      <c r="C34" s="20" t="s">
        <v>27</v>
      </c>
      <c r="D34" s="21">
        <v>500000</v>
      </c>
      <c r="E34" s="26">
        <v>1</v>
      </c>
      <c r="F34" s="27">
        <f t="shared" si="0"/>
        <v>500000</v>
      </c>
      <c r="G34" s="18">
        <f t="shared" si="1"/>
        <v>71.428571428571431</v>
      </c>
      <c r="H34" s="28"/>
      <c r="I34" s="2"/>
      <c r="J34" s="2"/>
    </row>
    <row r="35" spans="2:10" ht="18">
      <c r="B35" s="11"/>
      <c r="C35" s="20" t="s">
        <v>28</v>
      </c>
      <c r="D35" s="21">
        <v>25000</v>
      </c>
      <c r="E35" s="26">
        <v>1</v>
      </c>
      <c r="F35" s="27">
        <f t="shared" si="0"/>
        <v>25000</v>
      </c>
      <c r="G35" s="18">
        <f t="shared" si="1"/>
        <v>3.5714285714285716</v>
      </c>
      <c r="H35" s="28"/>
      <c r="I35" s="2"/>
      <c r="J35" s="2"/>
    </row>
    <row r="36" spans="2:10" ht="18">
      <c r="B36" s="11"/>
      <c r="C36" s="20" t="s">
        <v>108</v>
      </c>
      <c r="D36" s="21">
        <v>270000</v>
      </c>
      <c r="E36" s="26">
        <v>3</v>
      </c>
      <c r="F36" s="27">
        <f t="shared" si="0"/>
        <v>810000</v>
      </c>
      <c r="G36" s="18">
        <f t="shared" si="1"/>
        <v>115.71428571428571</v>
      </c>
      <c r="H36" s="28"/>
      <c r="I36" s="2"/>
      <c r="J36" s="2"/>
    </row>
    <row r="37" spans="2:10" ht="18">
      <c r="B37" s="11"/>
      <c r="C37" s="20" t="s">
        <v>29</v>
      </c>
      <c r="D37" s="21">
        <v>180000</v>
      </c>
      <c r="E37" s="26">
        <v>1</v>
      </c>
      <c r="F37" s="27">
        <f t="shared" si="0"/>
        <v>180000</v>
      </c>
      <c r="G37" s="18">
        <f t="shared" si="1"/>
        <v>25.714285714285715</v>
      </c>
      <c r="H37" s="28"/>
      <c r="I37" s="2"/>
      <c r="J37" s="2"/>
    </row>
    <row r="38" spans="2:10" ht="18">
      <c r="B38" s="11"/>
      <c r="C38" s="17" t="s">
        <v>30</v>
      </c>
      <c r="D38" s="139">
        <f>SUM(F39:F41)</f>
        <v>700000</v>
      </c>
      <c r="E38" s="140"/>
      <c r="F38" s="141"/>
      <c r="G38" s="18">
        <f>D38/D6</f>
        <v>100</v>
      </c>
      <c r="H38" s="28"/>
      <c r="I38" s="2"/>
      <c r="J38" s="2"/>
    </row>
    <row r="39" spans="2:10" ht="18">
      <c r="B39" s="11"/>
      <c r="C39" s="20" t="s">
        <v>31</v>
      </c>
      <c r="D39" s="21">
        <v>180000</v>
      </c>
      <c r="E39" s="26">
        <v>1</v>
      </c>
      <c r="F39" s="27">
        <f t="shared" si="0"/>
        <v>180000</v>
      </c>
      <c r="G39" s="18">
        <f>F27/$D$6</f>
        <v>21.428571428571427</v>
      </c>
      <c r="H39" s="28"/>
      <c r="I39" s="2"/>
      <c r="J39" s="2"/>
    </row>
    <row r="40" spans="2:10" ht="18">
      <c r="B40" s="11"/>
      <c r="C40" s="20" t="s">
        <v>32</v>
      </c>
      <c r="D40" s="26">
        <v>200000</v>
      </c>
      <c r="E40" s="26">
        <v>1</v>
      </c>
      <c r="F40" s="27">
        <f t="shared" si="0"/>
        <v>200000</v>
      </c>
      <c r="G40" s="18">
        <f>F28/$D$6</f>
        <v>28.571428571428573</v>
      </c>
      <c r="H40" s="28"/>
      <c r="I40" s="2"/>
      <c r="J40" s="2"/>
    </row>
    <row r="41" spans="2:10" ht="18">
      <c r="B41" s="11"/>
      <c r="C41" s="20" t="s">
        <v>33</v>
      </c>
      <c r="D41" s="26">
        <v>80000</v>
      </c>
      <c r="E41" s="26">
        <v>4</v>
      </c>
      <c r="F41" s="27">
        <f t="shared" si="0"/>
        <v>320000</v>
      </c>
      <c r="G41" s="18">
        <f>F41/D6</f>
        <v>45.714285714285715</v>
      </c>
      <c r="H41" s="19"/>
      <c r="I41" s="2"/>
      <c r="J41" s="2"/>
    </row>
    <row r="42" spans="2:10" ht="18">
      <c r="B42" s="11"/>
      <c r="C42" s="17" t="s">
        <v>34</v>
      </c>
      <c r="D42" s="139">
        <f>SUM(F43:F46)</f>
        <v>12975000</v>
      </c>
      <c r="E42" s="140"/>
      <c r="F42" s="141"/>
      <c r="G42" s="18">
        <f>D42/D6</f>
        <v>1853.5714285714287</v>
      </c>
      <c r="H42" s="28"/>
      <c r="I42" s="2"/>
      <c r="J42" s="2"/>
    </row>
    <row r="43" spans="2:10" ht="18">
      <c r="B43" s="11"/>
      <c r="C43" s="20" t="s">
        <v>35</v>
      </c>
      <c r="D43" s="29">
        <v>7000</v>
      </c>
      <c r="E43" s="26">
        <f>E13</f>
        <v>250</v>
      </c>
      <c r="F43" s="27">
        <f>D43*E43*6</f>
        <v>10500000</v>
      </c>
      <c r="G43" s="18">
        <f>F43/$D$6</f>
        <v>1500</v>
      </c>
      <c r="H43" s="19"/>
      <c r="I43" s="2"/>
      <c r="J43" s="2"/>
    </row>
    <row r="44" spans="2:10" ht="18">
      <c r="B44" s="11"/>
      <c r="C44" s="20" t="s">
        <v>36</v>
      </c>
      <c r="D44" s="21">
        <v>400000</v>
      </c>
      <c r="E44" s="26">
        <v>1</v>
      </c>
      <c r="F44" s="27">
        <f t="shared" ref="F44:F47" si="2">D44*E44</f>
        <v>400000</v>
      </c>
      <c r="G44" s="18">
        <f>F44/$D$6</f>
        <v>57.142857142857146</v>
      </c>
      <c r="H44" s="28"/>
      <c r="I44" s="2"/>
      <c r="J44" s="2"/>
    </row>
    <row r="45" spans="2:10" ht="18">
      <c r="B45" s="11"/>
      <c r="C45" s="20" t="s">
        <v>37</v>
      </c>
      <c r="D45" s="21">
        <v>25000</v>
      </c>
      <c r="E45" s="26">
        <v>3</v>
      </c>
      <c r="F45" s="27">
        <f t="shared" si="2"/>
        <v>75000</v>
      </c>
      <c r="G45" s="18">
        <f>F45/$D$6</f>
        <v>10.714285714285714</v>
      </c>
      <c r="H45" s="28"/>
      <c r="I45" s="2"/>
      <c r="J45" s="2"/>
    </row>
    <row r="46" spans="2:10" ht="18">
      <c r="B46" s="11"/>
      <c r="C46" s="20" t="s">
        <v>38</v>
      </c>
      <c r="D46" s="29">
        <v>2000000</v>
      </c>
      <c r="E46" s="26">
        <v>1</v>
      </c>
      <c r="F46" s="27">
        <f t="shared" si="2"/>
        <v>2000000</v>
      </c>
      <c r="G46" s="18">
        <f>F46/$D$6</f>
        <v>285.71428571428572</v>
      </c>
      <c r="H46" s="28"/>
      <c r="I46" s="2"/>
      <c r="J46" s="2"/>
    </row>
    <row r="47" spans="2:10" ht="19" thickBot="1">
      <c r="B47" s="11"/>
      <c r="C47" s="30" t="s">
        <v>39</v>
      </c>
      <c r="D47" s="131">
        <v>1000000</v>
      </c>
      <c r="E47" s="132">
        <v>1</v>
      </c>
      <c r="F47" s="133">
        <f t="shared" si="2"/>
        <v>1000000</v>
      </c>
      <c r="G47" s="31">
        <f>F47/$D$6</f>
        <v>142.85714285714286</v>
      </c>
      <c r="H47" s="28"/>
      <c r="I47" s="2"/>
      <c r="J47" s="2"/>
    </row>
    <row r="48" spans="2:10" ht="22" thickBot="1">
      <c r="B48" s="11"/>
      <c r="C48" s="32" t="s">
        <v>40</v>
      </c>
      <c r="D48" s="134">
        <f>D47+D42+D38+D30+D22+D19+D12+D9</f>
        <v>49320000</v>
      </c>
      <c r="E48" s="135"/>
      <c r="F48" s="136"/>
      <c r="G48" s="33">
        <f>D48/D6</f>
        <v>7045.7142857142853</v>
      </c>
      <c r="H48" s="28"/>
      <c r="I48" s="2"/>
      <c r="J48" s="2"/>
    </row>
    <row r="49" spans="2:10">
      <c r="B49" s="11"/>
      <c r="C49" s="34"/>
      <c r="D49" s="34"/>
      <c r="E49" s="34"/>
      <c r="F49" s="34"/>
      <c r="G49" s="34"/>
      <c r="H49" s="28"/>
      <c r="I49" s="2"/>
      <c r="J49" s="2"/>
    </row>
    <row r="50" spans="2:10">
      <c r="B50" s="11"/>
      <c r="C50" s="34"/>
      <c r="D50" s="34"/>
      <c r="E50" s="34"/>
      <c r="F50" s="34"/>
      <c r="G50" s="34"/>
      <c r="H50" s="28"/>
      <c r="I50" s="2"/>
      <c r="J50" s="2"/>
    </row>
    <row r="51" spans="2:10">
      <c r="B51" s="11"/>
      <c r="C51" s="34"/>
      <c r="D51" s="34"/>
      <c r="E51" s="34"/>
      <c r="F51" s="34"/>
      <c r="G51" s="34"/>
      <c r="H51" s="28"/>
      <c r="I51" s="2"/>
      <c r="J51" s="2"/>
    </row>
    <row r="52" spans="2:10">
      <c r="B52" s="11"/>
      <c r="C52" s="34"/>
      <c r="D52" s="34"/>
      <c r="E52" s="34"/>
      <c r="F52" s="34"/>
      <c r="G52" s="34"/>
      <c r="H52" s="28"/>
      <c r="I52" s="2"/>
      <c r="J52" s="2"/>
    </row>
    <row r="53" spans="2:10">
      <c r="B53" s="11"/>
      <c r="C53" s="34"/>
      <c r="D53" s="34"/>
      <c r="E53" s="34"/>
      <c r="F53" s="34"/>
      <c r="G53" s="34"/>
      <c r="H53" s="28"/>
      <c r="I53" s="2"/>
      <c r="J53" s="2"/>
    </row>
    <row r="54" spans="2:10">
      <c r="B54" s="11"/>
      <c r="C54" s="34"/>
      <c r="D54" s="34"/>
      <c r="E54" s="34"/>
      <c r="F54" s="34"/>
      <c r="G54" s="34"/>
      <c r="H54" s="19"/>
      <c r="I54" s="2"/>
      <c r="J54" s="2"/>
    </row>
    <row r="55" spans="2:10" ht="22.5" customHeight="1" thickBot="1">
      <c r="B55" s="35"/>
      <c r="C55" s="137"/>
      <c r="D55" s="137"/>
      <c r="E55" s="137"/>
      <c r="F55" s="137"/>
      <c r="G55" s="36"/>
      <c r="H55" s="37"/>
    </row>
    <row r="65" spans="5:8" ht="18">
      <c r="E65" s="138">
        <f>IF($E$13=150,400000,IF($E$13=200,500000,IF($E$13=250,600000,IF($E$13&gt;250,700000,0))))</f>
        <v>600000</v>
      </c>
      <c r="F65" s="138">
        <v>1</v>
      </c>
      <c r="G65" s="138"/>
      <c r="H65" s="138">
        <f>E65*F65</f>
        <v>600000</v>
      </c>
    </row>
  </sheetData>
  <sheetProtection algorithmName="SHA-512" hashValue="D/NI24J/8IpmKSons2xBzvrNccAZCvWX8I3bGpuSB0X9bjT4jlt5qDOIDegmf10yFif13ybXg/x3dlQH0JA97Q==" saltValue="/moUtOtbuYOFFSoHcaNJmg==" spinCount="100000" sheet="1" formatCells="0" formatColumns="0" formatRows="0" insertColumns="0" insertRows="0" insertHyperlinks="0" deleteColumns="0" deleteRows="0" sort="0" autoFilter="0" pivotTables="0"/>
  <mergeCells count="14">
    <mergeCell ref="D9:F9"/>
    <mergeCell ref="C7:F7"/>
    <mergeCell ref="D6:G6"/>
    <mergeCell ref="B2:H5"/>
    <mergeCell ref="D12:F12"/>
    <mergeCell ref="D47:F47"/>
    <mergeCell ref="D48:F48"/>
    <mergeCell ref="C55:F55"/>
    <mergeCell ref="E65:H65"/>
    <mergeCell ref="D19:F19"/>
    <mergeCell ref="D22:F22"/>
    <mergeCell ref="D30:F30"/>
    <mergeCell ref="D38:F38"/>
    <mergeCell ref="D42:F42"/>
  </mergeCells>
  <pageMargins left="0.7" right="0.7" top="0.75" bottom="0.75" header="0.3" footer="0.3"/>
  <pageSetup paperSize="9" orientation="portrait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5">
    <tabColor rgb="FF12BDAB"/>
    <pageSetUpPr fitToPage="1"/>
  </sheetPr>
  <dimension ref="B1:U48"/>
  <sheetViews>
    <sheetView showGridLines="0" zoomScale="80" zoomScaleNormal="80" workbookViewId="0">
      <selection activeCell="B2" sqref="B2:T3"/>
    </sheetView>
  </sheetViews>
  <sheetFormatPr baseColWidth="10" defaultColWidth="9.1640625" defaultRowHeight="15" customHeight="1"/>
  <cols>
    <col min="1" max="1" width="2.6640625" style="38" customWidth="1"/>
    <col min="2" max="2" width="4.1640625" style="38" customWidth="1"/>
    <col min="3" max="3" width="55.6640625" style="38" customWidth="1"/>
    <col min="4" max="5" width="15.5" style="38" customWidth="1"/>
    <col min="6" max="6" width="15.83203125" style="38" customWidth="1"/>
    <col min="7" max="7" width="15.5" style="38" customWidth="1"/>
    <col min="8" max="18" width="15.83203125" style="38" customWidth="1"/>
    <col min="19" max="19" width="16" style="38" customWidth="1"/>
    <col min="20" max="20" width="4" style="38" customWidth="1"/>
    <col min="21" max="16384" width="9.1640625" style="38"/>
  </cols>
  <sheetData>
    <row r="1" spans="2:20" ht="15" customHeight="1" thickBot="1"/>
    <row r="2" spans="2:20" ht="97.5" customHeight="1">
      <c r="B2" s="155" t="s">
        <v>41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7"/>
    </row>
    <row r="3" spans="2:20" ht="17" customHeight="1">
      <c r="B3" s="158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60"/>
    </row>
    <row r="4" spans="2:20" ht="15" customHeight="1" thickBot="1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161"/>
      <c r="N4" s="162"/>
      <c r="O4" s="162"/>
      <c r="P4" s="162"/>
      <c r="Q4" s="162"/>
      <c r="R4" s="162"/>
      <c r="S4" s="162"/>
      <c r="T4" s="41"/>
    </row>
    <row r="5" spans="2:20" ht="20" thickBot="1">
      <c r="B5" s="42"/>
      <c r="C5" s="43" t="s">
        <v>42</v>
      </c>
      <c r="D5" s="44">
        <v>17</v>
      </c>
      <c r="E5" s="44">
        <v>18</v>
      </c>
      <c r="F5" s="44">
        <v>19</v>
      </c>
      <c r="G5" s="44">
        <v>20</v>
      </c>
      <c r="H5" s="44">
        <v>21</v>
      </c>
      <c r="I5" s="44">
        <v>22</v>
      </c>
      <c r="J5" s="44">
        <v>23</v>
      </c>
      <c r="K5" s="44">
        <v>24</v>
      </c>
      <c r="L5" s="44">
        <v>25</v>
      </c>
      <c r="M5" s="44">
        <v>26</v>
      </c>
      <c r="N5" s="44">
        <v>27</v>
      </c>
      <c r="O5" s="45">
        <v>28</v>
      </c>
      <c r="P5" s="46">
        <v>29</v>
      </c>
      <c r="Q5" s="46">
        <v>30</v>
      </c>
      <c r="R5" s="46">
        <v>31</v>
      </c>
      <c r="S5" s="46">
        <v>32</v>
      </c>
      <c r="T5" s="47"/>
    </row>
    <row r="6" spans="2:20" ht="17">
      <c r="B6" s="42"/>
      <c r="C6" s="48" t="s">
        <v>43</v>
      </c>
      <c r="D6" s="49">
        <v>30</v>
      </c>
      <c r="E6" s="49">
        <v>36</v>
      </c>
      <c r="F6" s="49">
        <v>37</v>
      </c>
      <c r="G6" s="49">
        <v>20</v>
      </c>
      <c r="H6" s="49">
        <v>40</v>
      </c>
      <c r="I6" s="49">
        <v>45</v>
      </c>
      <c r="J6" s="49">
        <v>50</v>
      </c>
      <c r="K6" s="49">
        <v>30</v>
      </c>
      <c r="L6" s="49">
        <v>22</v>
      </c>
      <c r="M6" s="49">
        <v>29</v>
      </c>
      <c r="N6" s="49">
        <v>49</v>
      </c>
      <c r="O6" s="49">
        <v>48</v>
      </c>
      <c r="P6" s="49">
        <v>46</v>
      </c>
      <c r="Q6" s="49">
        <v>30</v>
      </c>
      <c r="R6" s="49">
        <v>40</v>
      </c>
      <c r="S6" s="49">
        <v>40</v>
      </c>
      <c r="T6" s="47"/>
    </row>
    <row r="7" spans="2:20" ht="17">
      <c r="B7" s="42"/>
      <c r="C7" s="50" t="s">
        <v>44</v>
      </c>
      <c r="D7" s="51">
        <v>8000</v>
      </c>
      <c r="E7" s="51">
        <v>8000</v>
      </c>
      <c r="F7" s="51">
        <v>8000</v>
      </c>
      <c r="G7" s="51">
        <v>8000</v>
      </c>
      <c r="H7" s="51">
        <v>8000</v>
      </c>
      <c r="I7" s="51">
        <v>8000</v>
      </c>
      <c r="J7" s="51">
        <v>8000</v>
      </c>
      <c r="K7" s="51">
        <v>8000</v>
      </c>
      <c r="L7" s="51">
        <v>8000</v>
      </c>
      <c r="M7" s="51">
        <v>8000</v>
      </c>
      <c r="N7" s="51">
        <v>8000</v>
      </c>
      <c r="O7" s="51">
        <v>8000</v>
      </c>
      <c r="P7" s="51">
        <v>8000</v>
      </c>
      <c r="Q7" s="51">
        <v>8000</v>
      </c>
      <c r="R7" s="51">
        <v>8000</v>
      </c>
      <c r="S7" s="51">
        <v>8000</v>
      </c>
      <c r="T7" s="47"/>
    </row>
    <row r="8" spans="2:20" ht="17">
      <c r="B8" s="42"/>
      <c r="C8" s="52" t="s">
        <v>45</v>
      </c>
      <c r="D8" s="53">
        <f>D6*D7</f>
        <v>240000</v>
      </c>
      <c r="E8" s="53">
        <f t="shared" ref="E8:N8" si="0">E6*E7</f>
        <v>288000</v>
      </c>
      <c r="F8" s="53">
        <f t="shared" si="0"/>
        <v>296000</v>
      </c>
      <c r="G8" s="53">
        <f t="shared" si="0"/>
        <v>160000</v>
      </c>
      <c r="H8" s="53">
        <f t="shared" si="0"/>
        <v>320000</v>
      </c>
      <c r="I8" s="53">
        <f t="shared" si="0"/>
        <v>360000</v>
      </c>
      <c r="J8" s="53">
        <f t="shared" si="0"/>
        <v>400000</v>
      </c>
      <c r="K8" s="53">
        <f t="shared" si="0"/>
        <v>240000</v>
      </c>
      <c r="L8" s="53">
        <f t="shared" si="0"/>
        <v>176000</v>
      </c>
      <c r="M8" s="53">
        <f t="shared" si="0"/>
        <v>232000</v>
      </c>
      <c r="N8" s="53">
        <f t="shared" si="0"/>
        <v>392000</v>
      </c>
      <c r="O8" s="53">
        <f>O6*O7</f>
        <v>384000</v>
      </c>
      <c r="P8" s="53">
        <f t="shared" ref="P8:S8" si="1">P6*P7</f>
        <v>368000</v>
      </c>
      <c r="Q8" s="53">
        <f t="shared" si="1"/>
        <v>240000</v>
      </c>
      <c r="R8" s="53">
        <f t="shared" si="1"/>
        <v>320000</v>
      </c>
      <c r="S8" s="53">
        <f t="shared" si="1"/>
        <v>320000</v>
      </c>
      <c r="T8" s="47"/>
    </row>
    <row r="9" spans="2:20" ht="19">
      <c r="B9" s="42"/>
      <c r="C9" s="54" t="s">
        <v>46</v>
      </c>
      <c r="D9" s="55">
        <f>D8*31</f>
        <v>7440000</v>
      </c>
      <c r="E9" s="55">
        <f t="shared" ref="E9:N9" si="2">E8*31</f>
        <v>8928000</v>
      </c>
      <c r="F9" s="55">
        <f t="shared" si="2"/>
        <v>9176000</v>
      </c>
      <c r="G9" s="55">
        <f t="shared" si="2"/>
        <v>4960000</v>
      </c>
      <c r="H9" s="55">
        <f t="shared" si="2"/>
        <v>9920000</v>
      </c>
      <c r="I9" s="55">
        <f t="shared" si="2"/>
        <v>11160000</v>
      </c>
      <c r="J9" s="55">
        <f t="shared" si="2"/>
        <v>12400000</v>
      </c>
      <c r="K9" s="55">
        <f t="shared" si="2"/>
        <v>7440000</v>
      </c>
      <c r="L9" s="55">
        <f t="shared" si="2"/>
        <v>5456000</v>
      </c>
      <c r="M9" s="55">
        <f t="shared" si="2"/>
        <v>7192000</v>
      </c>
      <c r="N9" s="55">
        <f t="shared" si="2"/>
        <v>12152000</v>
      </c>
      <c r="O9" s="55">
        <f>O8*31</f>
        <v>11904000</v>
      </c>
      <c r="P9" s="55">
        <f t="shared" ref="P9:S9" si="3">P8*31</f>
        <v>11408000</v>
      </c>
      <c r="Q9" s="55">
        <f t="shared" si="3"/>
        <v>7440000</v>
      </c>
      <c r="R9" s="55">
        <f t="shared" si="3"/>
        <v>9920000</v>
      </c>
      <c r="S9" s="55">
        <f t="shared" si="3"/>
        <v>9920000</v>
      </c>
      <c r="T9" s="56"/>
    </row>
    <row r="10" spans="2:20" ht="19">
      <c r="B10" s="42"/>
      <c r="C10" s="57" t="s">
        <v>47</v>
      </c>
      <c r="D10" s="58">
        <f>D33+D28+D24+D19+D17+D11</f>
        <v>5806992</v>
      </c>
      <c r="E10" s="58">
        <f t="shared" ref="E10:S10" si="4">E32+E28+E24+E19+E17+E11</f>
        <v>5640914.4000000004</v>
      </c>
      <c r="F10" s="58">
        <f t="shared" si="4"/>
        <v>5717064.7999999998</v>
      </c>
      <c r="G10" s="58">
        <f t="shared" si="4"/>
        <v>2436408</v>
      </c>
      <c r="H10" s="58">
        <f t="shared" si="4"/>
        <v>4404416</v>
      </c>
      <c r="I10" s="58">
        <f t="shared" si="4"/>
        <v>6510268</v>
      </c>
      <c r="J10" s="58">
        <f t="shared" si="4"/>
        <v>5395920</v>
      </c>
      <c r="K10" s="58">
        <f t="shared" si="4"/>
        <v>3427912</v>
      </c>
      <c r="L10" s="58">
        <f t="shared" si="4"/>
        <v>2619708.7999999998</v>
      </c>
      <c r="M10" s="58">
        <f t="shared" si="4"/>
        <v>4923861.5999999996</v>
      </c>
      <c r="N10" s="58">
        <f t="shared" si="4"/>
        <v>6906869.5999999996</v>
      </c>
      <c r="O10" s="58">
        <f t="shared" si="4"/>
        <v>6807719.2000000002</v>
      </c>
      <c r="P10" s="58">
        <f t="shared" si="4"/>
        <v>6624418.4000000004</v>
      </c>
      <c r="Q10" s="58">
        <f t="shared" si="4"/>
        <v>5023012</v>
      </c>
      <c r="R10" s="58">
        <f t="shared" si="4"/>
        <v>6014516</v>
      </c>
      <c r="S10" s="58">
        <f t="shared" si="4"/>
        <v>6014516</v>
      </c>
      <c r="T10" s="56"/>
    </row>
    <row r="11" spans="2:20" ht="19">
      <c r="B11" s="42"/>
      <c r="C11" s="59" t="s">
        <v>48</v>
      </c>
      <c r="D11" s="60">
        <f>SUM(D12:D16)</f>
        <v>2141000</v>
      </c>
      <c r="E11" s="60">
        <f t="shared" ref="E11:N11" si="5">SUM(E12:E16)</f>
        <v>1862000</v>
      </c>
      <c r="F11" s="60">
        <f t="shared" si="5"/>
        <v>1849000</v>
      </c>
      <c r="G11" s="60">
        <f t="shared" si="5"/>
        <v>253900</v>
      </c>
      <c r="H11" s="60">
        <f t="shared" si="5"/>
        <v>238900</v>
      </c>
      <c r="I11" s="60">
        <f t="shared" si="5"/>
        <v>1849000</v>
      </c>
      <c r="J11" s="60">
        <f t="shared" si="5"/>
        <v>238900</v>
      </c>
      <c r="K11" s="60">
        <f t="shared" si="5"/>
        <v>253900</v>
      </c>
      <c r="L11" s="60">
        <f t="shared" si="5"/>
        <v>238900</v>
      </c>
      <c r="M11" s="60">
        <f t="shared" si="5"/>
        <v>1849000</v>
      </c>
      <c r="N11" s="60">
        <f t="shared" si="5"/>
        <v>1849000</v>
      </c>
      <c r="O11" s="60">
        <f>SUM(O12:O16)</f>
        <v>1849000</v>
      </c>
      <c r="P11" s="60">
        <f t="shared" ref="P11:S11" si="6">SUM(P12:P16)</f>
        <v>1864000</v>
      </c>
      <c r="Q11" s="60">
        <f t="shared" si="6"/>
        <v>1849000</v>
      </c>
      <c r="R11" s="60">
        <f t="shared" si="6"/>
        <v>1849000</v>
      </c>
      <c r="S11" s="60">
        <f t="shared" si="6"/>
        <v>1849000</v>
      </c>
      <c r="T11" s="56"/>
    </row>
    <row r="12" spans="2:20" ht="19">
      <c r="B12" s="42"/>
      <c r="C12" s="61" t="s">
        <v>49</v>
      </c>
      <c r="D12" s="62">
        <v>1780000</v>
      </c>
      <c r="E12" s="62">
        <v>1789000</v>
      </c>
      <c r="F12" s="62">
        <v>1789000</v>
      </c>
      <c r="G12" s="62">
        <v>178900</v>
      </c>
      <c r="H12" s="62">
        <v>178900</v>
      </c>
      <c r="I12" s="62">
        <v>1789000</v>
      </c>
      <c r="J12" s="62">
        <v>178900</v>
      </c>
      <c r="K12" s="62">
        <v>178900</v>
      </c>
      <c r="L12" s="62">
        <v>178900</v>
      </c>
      <c r="M12" s="62">
        <v>1789000</v>
      </c>
      <c r="N12" s="62">
        <v>1789000</v>
      </c>
      <c r="O12" s="62">
        <v>1789000</v>
      </c>
      <c r="P12" s="62">
        <v>1789000</v>
      </c>
      <c r="Q12" s="62">
        <v>1789000</v>
      </c>
      <c r="R12" s="62">
        <v>1789000</v>
      </c>
      <c r="S12" s="62">
        <v>1789000</v>
      </c>
      <c r="T12" s="56"/>
    </row>
    <row r="13" spans="2:20" ht="19">
      <c r="B13" s="42"/>
      <c r="C13" s="61" t="s">
        <v>93</v>
      </c>
      <c r="D13" s="62">
        <v>130000</v>
      </c>
      <c r="E13" s="62">
        <v>45000</v>
      </c>
      <c r="F13" s="62">
        <v>45000</v>
      </c>
      <c r="G13" s="62">
        <v>45000</v>
      </c>
      <c r="H13" s="62">
        <v>45000</v>
      </c>
      <c r="I13" s="62">
        <v>45000</v>
      </c>
      <c r="J13" s="62">
        <v>45000</v>
      </c>
      <c r="K13" s="62">
        <v>45000</v>
      </c>
      <c r="L13" s="62">
        <v>45000</v>
      </c>
      <c r="M13" s="62">
        <v>45000</v>
      </c>
      <c r="N13" s="62">
        <v>45000</v>
      </c>
      <c r="O13" s="62">
        <v>45000</v>
      </c>
      <c r="P13" s="62">
        <v>45000</v>
      </c>
      <c r="Q13" s="62">
        <v>45000</v>
      </c>
      <c r="R13" s="62">
        <v>45000</v>
      </c>
      <c r="S13" s="62">
        <v>45000</v>
      </c>
      <c r="T13" s="56"/>
    </row>
    <row r="14" spans="2:20" ht="19">
      <c r="B14" s="42"/>
      <c r="C14" s="61" t="s">
        <v>51</v>
      </c>
      <c r="D14" s="62">
        <v>210000</v>
      </c>
      <c r="E14" s="62">
        <v>7000</v>
      </c>
      <c r="F14" s="62">
        <v>7000</v>
      </c>
      <c r="G14" s="62">
        <v>7000</v>
      </c>
      <c r="H14" s="62">
        <v>7000</v>
      </c>
      <c r="I14" s="62">
        <v>7000</v>
      </c>
      <c r="J14" s="62">
        <v>7000</v>
      </c>
      <c r="K14" s="62">
        <v>7000</v>
      </c>
      <c r="L14" s="62">
        <v>7000</v>
      </c>
      <c r="M14" s="62">
        <v>7000</v>
      </c>
      <c r="N14" s="62">
        <v>7000</v>
      </c>
      <c r="O14" s="62">
        <v>7000</v>
      </c>
      <c r="P14" s="62">
        <v>7000</v>
      </c>
      <c r="Q14" s="62">
        <v>7000</v>
      </c>
      <c r="R14" s="62">
        <v>7000</v>
      </c>
      <c r="S14" s="62">
        <v>7000</v>
      </c>
      <c r="T14" s="56"/>
    </row>
    <row r="15" spans="2:20" ht="19">
      <c r="B15" s="42"/>
      <c r="C15" s="61" t="s">
        <v>52</v>
      </c>
      <c r="D15" s="62">
        <v>21000</v>
      </c>
      <c r="E15" s="62">
        <v>21000</v>
      </c>
      <c r="F15" s="62">
        <v>8000</v>
      </c>
      <c r="G15" s="62">
        <v>8000</v>
      </c>
      <c r="H15" s="62">
        <v>8000</v>
      </c>
      <c r="I15" s="62">
        <v>8000</v>
      </c>
      <c r="J15" s="62">
        <v>8000</v>
      </c>
      <c r="K15" s="62">
        <v>8000</v>
      </c>
      <c r="L15" s="62">
        <v>8000</v>
      </c>
      <c r="M15" s="62">
        <v>8000</v>
      </c>
      <c r="N15" s="62">
        <v>8000</v>
      </c>
      <c r="O15" s="62">
        <v>8000</v>
      </c>
      <c r="P15" s="62">
        <v>8000</v>
      </c>
      <c r="Q15" s="62">
        <v>8000</v>
      </c>
      <c r="R15" s="62">
        <v>8000</v>
      </c>
      <c r="S15" s="62">
        <v>8000</v>
      </c>
      <c r="T15" s="56"/>
    </row>
    <row r="16" spans="2:20" ht="19">
      <c r="B16" s="42"/>
      <c r="C16" s="61" t="s">
        <v>53</v>
      </c>
      <c r="D16" s="62"/>
      <c r="E16" s="62"/>
      <c r="F16" s="62"/>
      <c r="G16" s="62">
        <v>15000</v>
      </c>
      <c r="H16" s="62"/>
      <c r="I16" s="62"/>
      <c r="J16" s="62"/>
      <c r="K16" s="62">
        <v>15000</v>
      </c>
      <c r="L16" s="62"/>
      <c r="M16" s="62"/>
      <c r="N16" s="62"/>
      <c r="O16" s="62"/>
      <c r="P16" s="62">
        <v>15000</v>
      </c>
      <c r="Q16" s="62"/>
      <c r="R16" s="62"/>
      <c r="S16" s="62"/>
      <c r="T16" s="56"/>
    </row>
    <row r="17" spans="2:20" ht="19">
      <c r="B17" s="42"/>
      <c r="C17" s="59" t="s">
        <v>54</v>
      </c>
      <c r="D17" s="63">
        <f t="shared" ref="D17:S17" si="7">SUM(D18:D18)</f>
        <v>1390200</v>
      </c>
      <c r="E17" s="63">
        <f t="shared" si="7"/>
        <v>1658040</v>
      </c>
      <c r="F17" s="63">
        <f t="shared" si="7"/>
        <v>1702680</v>
      </c>
      <c r="G17" s="63">
        <f t="shared" si="7"/>
        <v>943800</v>
      </c>
      <c r="H17" s="63">
        <f t="shared" si="7"/>
        <v>1836600</v>
      </c>
      <c r="I17" s="63">
        <f t="shared" si="7"/>
        <v>2059800</v>
      </c>
      <c r="J17" s="63">
        <f t="shared" si="7"/>
        <v>2283000</v>
      </c>
      <c r="K17" s="63">
        <f t="shared" si="7"/>
        <v>1390200</v>
      </c>
      <c r="L17" s="63">
        <f t="shared" si="7"/>
        <v>1033080</v>
      </c>
      <c r="M17" s="63">
        <f t="shared" si="7"/>
        <v>1345560</v>
      </c>
      <c r="N17" s="63">
        <f t="shared" si="7"/>
        <v>2238360</v>
      </c>
      <c r="O17" s="63">
        <f t="shared" si="7"/>
        <v>2193720</v>
      </c>
      <c r="P17" s="63">
        <f t="shared" si="7"/>
        <v>2104440</v>
      </c>
      <c r="Q17" s="63">
        <f t="shared" si="7"/>
        <v>1390200</v>
      </c>
      <c r="R17" s="63">
        <f t="shared" si="7"/>
        <v>1836600</v>
      </c>
      <c r="S17" s="63">
        <f t="shared" si="7"/>
        <v>1836600</v>
      </c>
      <c r="T17" s="56"/>
    </row>
    <row r="18" spans="2:20" ht="19">
      <c r="B18" s="42"/>
      <c r="C18" s="61" t="s">
        <v>55</v>
      </c>
      <c r="D18" s="62">
        <f>(D9*18%)+51000</f>
        <v>1390200</v>
      </c>
      <c r="E18" s="62">
        <f t="shared" ref="E18:S18" si="8">(E9*18%)+51000</f>
        <v>1658040</v>
      </c>
      <c r="F18" s="62">
        <f t="shared" si="8"/>
        <v>1702680</v>
      </c>
      <c r="G18" s="62">
        <f t="shared" si="8"/>
        <v>943800</v>
      </c>
      <c r="H18" s="62">
        <f t="shared" si="8"/>
        <v>1836600</v>
      </c>
      <c r="I18" s="62">
        <f t="shared" si="8"/>
        <v>2059800</v>
      </c>
      <c r="J18" s="62">
        <f t="shared" si="8"/>
        <v>2283000</v>
      </c>
      <c r="K18" s="62">
        <f t="shared" si="8"/>
        <v>1390200</v>
      </c>
      <c r="L18" s="62">
        <f t="shared" si="8"/>
        <v>1033080</v>
      </c>
      <c r="M18" s="62">
        <f t="shared" si="8"/>
        <v>1345560</v>
      </c>
      <c r="N18" s="62">
        <f t="shared" si="8"/>
        <v>2238360</v>
      </c>
      <c r="O18" s="62">
        <f t="shared" si="8"/>
        <v>2193720</v>
      </c>
      <c r="P18" s="62">
        <f t="shared" si="8"/>
        <v>2104440</v>
      </c>
      <c r="Q18" s="62">
        <f t="shared" si="8"/>
        <v>1390200</v>
      </c>
      <c r="R18" s="62">
        <f t="shared" si="8"/>
        <v>1836600</v>
      </c>
      <c r="S18" s="62">
        <f t="shared" si="8"/>
        <v>1836600</v>
      </c>
      <c r="T18" s="56"/>
    </row>
    <row r="19" spans="2:20" ht="19">
      <c r="B19" s="42"/>
      <c r="C19" s="64" t="s">
        <v>57</v>
      </c>
      <c r="D19" s="65">
        <f>SUM(D20:D23)</f>
        <v>1318800</v>
      </c>
      <c r="E19" s="66">
        <f t="shared" ref="E19:N19" si="9">SUM(E20:E23)</f>
        <v>1483840</v>
      </c>
      <c r="F19" s="65">
        <f t="shared" si="9"/>
        <v>1522280</v>
      </c>
      <c r="G19" s="65">
        <f t="shared" si="9"/>
        <v>868800</v>
      </c>
      <c r="H19" s="65">
        <f t="shared" si="9"/>
        <v>1637600</v>
      </c>
      <c r="I19" s="67">
        <f t="shared" si="9"/>
        <v>1829800</v>
      </c>
      <c r="J19" s="68">
        <f t="shared" si="9"/>
        <v>2022000</v>
      </c>
      <c r="K19" s="65">
        <f t="shared" si="9"/>
        <v>1253200</v>
      </c>
      <c r="L19" s="66">
        <f t="shared" si="9"/>
        <v>945680</v>
      </c>
      <c r="M19" s="65">
        <f t="shared" si="9"/>
        <v>1214760</v>
      </c>
      <c r="N19" s="66">
        <f t="shared" si="9"/>
        <v>1983560</v>
      </c>
      <c r="O19" s="65">
        <f>SUM(O20:O23)</f>
        <v>1945120</v>
      </c>
      <c r="P19" s="65">
        <f t="shared" ref="P19:S19" si="10">SUM(P20:P23)</f>
        <v>1868240</v>
      </c>
      <c r="Q19" s="66">
        <f t="shared" si="10"/>
        <v>1253200</v>
      </c>
      <c r="R19" s="65">
        <f t="shared" si="10"/>
        <v>1637600</v>
      </c>
      <c r="S19" s="67">
        <f t="shared" si="10"/>
        <v>1637600</v>
      </c>
      <c r="T19" s="56"/>
    </row>
    <row r="20" spans="2:20" ht="19">
      <c r="B20" s="42"/>
      <c r="C20" s="61" t="s">
        <v>58</v>
      </c>
      <c r="D20" s="62">
        <v>120000</v>
      </c>
      <c r="E20" s="62">
        <f t="shared" ref="E20:S20" si="11">E9*1%</f>
        <v>89280</v>
      </c>
      <c r="F20" s="62">
        <f t="shared" si="11"/>
        <v>91760</v>
      </c>
      <c r="G20" s="62">
        <f t="shared" si="11"/>
        <v>49600</v>
      </c>
      <c r="H20" s="62">
        <f t="shared" si="11"/>
        <v>99200</v>
      </c>
      <c r="I20" s="62">
        <f t="shared" si="11"/>
        <v>111600</v>
      </c>
      <c r="J20" s="62">
        <f t="shared" si="11"/>
        <v>124000</v>
      </c>
      <c r="K20" s="62">
        <f t="shared" si="11"/>
        <v>74400</v>
      </c>
      <c r="L20" s="62">
        <f t="shared" si="11"/>
        <v>54560</v>
      </c>
      <c r="M20" s="62">
        <f t="shared" si="11"/>
        <v>71920</v>
      </c>
      <c r="N20" s="62">
        <f t="shared" si="11"/>
        <v>121520</v>
      </c>
      <c r="O20" s="62">
        <f t="shared" si="11"/>
        <v>119040</v>
      </c>
      <c r="P20" s="69">
        <f t="shared" si="11"/>
        <v>114080</v>
      </c>
      <c r="Q20" s="62">
        <f t="shared" si="11"/>
        <v>74400</v>
      </c>
      <c r="R20" s="70">
        <f t="shared" si="11"/>
        <v>99200</v>
      </c>
      <c r="S20" s="71">
        <f t="shared" si="11"/>
        <v>99200</v>
      </c>
      <c r="T20" s="56"/>
    </row>
    <row r="21" spans="2:20" ht="19">
      <c r="B21" s="42"/>
      <c r="C21" s="61" t="s">
        <v>111</v>
      </c>
      <c r="D21" s="62">
        <f t="shared" ref="D21:S21" si="12">D9*40%*35%</f>
        <v>1041599.9999999999</v>
      </c>
      <c r="E21" s="62">
        <f t="shared" si="12"/>
        <v>1249920</v>
      </c>
      <c r="F21" s="62">
        <f t="shared" si="12"/>
        <v>1284640</v>
      </c>
      <c r="G21" s="62">
        <f t="shared" si="12"/>
        <v>694400</v>
      </c>
      <c r="H21" s="62">
        <f t="shared" si="12"/>
        <v>1388800</v>
      </c>
      <c r="I21" s="62">
        <f t="shared" si="12"/>
        <v>1562400</v>
      </c>
      <c r="J21" s="62">
        <f t="shared" si="12"/>
        <v>1736000</v>
      </c>
      <c r="K21" s="62">
        <f t="shared" si="12"/>
        <v>1041599.9999999999</v>
      </c>
      <c r="L21" s="62">
        <f t="shared" si="12"/>
        <v>763840</v>
      </c>
      <c r="M21" s="62">
        <f t="shared" si="12"/>
        <v>1006879.9999999999</v>
      </c>
      <c r="N21" s="62">
        <f t="shared" si="12"/>
        <v>1701280</v>
      </c>
      <c r="O21" s="62">
        <f t="shared" si="12"/>
        <v>1666560</v>
      </c>
      <c r="P21" s="62">
        <f t="shared" si="12"/>
        <v>1597120</v>
      </c>
      <c r="Q21" s="62">
        <f t="shared" si="12"/>
        <v>1041599.9999999999</v>
      </c>
      <c r="R21" s="62">
        <f t="shared" si="12"/>
        <v>1388800</v>
      </c>
      <c r="S21" s="62">
        <f t="shared" si="12"/>
        <v>1388800</v>
      </c>
      <c r="T21" s="56"/>
    </row>
    <row r="22" spans="2:20" ht="19">
      <c r="B22" s="42"/>
      <c r="C22" s="61" t="s">
        <v>25</v>
      </c>
      <c r="D22" s="62">
        <v>120000</v>
      </c>
      <c r="E22" s="62">
        <v>100000</v>
      </c>
      <c r="F22" s="62">
        <v>100000</v>
      </c>
      <c r="G22" s="62">
        <v>100000</v>
      </c>
      <c r="H22" s="62">
        <v>100000</v>
      </c>
      <c r="I22" s="62">
        <v>100000</v>
      </c>
      <c r="J22" s="62">
        <v>100000</v>
      </c>
      <c r="K22" s="62">
        <v>100000</v>
      </c>
      <c r="L22" s="62">
        <v>100000</v>
      </c>
      <c r="M22" s="62">
        <v>100000</v>
      </c>
      <c r="N22" s="62">
        <v>100000</v>
      </c>
      <c r="O22" s="62">
        <v>100000</v>
      </c>
      <c r="P22" s="62">
        <v>100000</v>
      </c>
      <c r="Q22" s="62">
        <v>100000</v>
      </c>
      <c r="R22" s="62">
        <v>100000</v>
      </c>
      <c r="S22" s="62">
        <v>100000</v>
      </c>
      <c r="T22" s="56"/>
    </row>
    <row r="23" spans="2:20" ht="19">
      <c r="B23" s="42"/>
      <c r="C23" s="61" t="s">
        <v>60</v>
      </c>
      <c r="D23" s="72">
        <f t="shared" ref="D23:S23" si="13">D9*0.5%</f>
        <v>37200</v>
      </c>
      <c r="E23" s="72">
        <f t="shared" si="13"/>
        <v>44640</v>
      </c>
      <c r="F23" s="72">
        <f t="shared" si="13"/>
        <v>45880</v>
      </c>
      <c r="G23" s="72">
        <f t="shared" si="13"/>
        <v>24800</v>
      </c>
      <c r="H23" s="72">
        <f t="shared" si="13"/>
        <v>49600</v>
      </c>
      <c r="I23" s="72">
        <f t="shared" si="13"/>
        <v>55800</v>
      </c>
      <c r="J23" s="72">
        <f t="shared" si="13"/>
        <v>62000</v>
      </c>
      <c r="K23" s="72">
        <f t="shared" si="13"/>
        <v>37200</v>
      </c>
      <c r="L23" s="72">
        <f t="shared" si="13"/>
        <v>27280</v>
      </c>
      <c r="M23" s="72">
        <f t="shared" si="13"/>
        <v>35960</v>
      </c>
      <c r="N23" s="72">
        <f t="shared" si="13"/>
        <v>60760</v>
      </c>
      <c r="O23" s="72">
        <f t="shared" si="13"/>
        <v>59520</v>
      </c>
      <c r="P23" s="72">
        <f t="shared" si="13"/>
        <v>57040</v>
      </c>
      <c r="Q23" s="72">
        <f t="shared" si="13"/>
        <v>37200</v>
      </c>
      <c r="R23" s="72">
        <f t="shared" si="13"/>
        <v>49600</v>
      </c>
      <c r="S23" s="72">
        <f t="shared" si="13"/>
        <v>49600</v>
      </c>
      <c r="T23" s="56"/>
    </row>
    <row r="24" spans="2:20" ht="19">
      <c r="B24" s="42"/>
      <c r="C24" s="64" t="s">
        <v>61</v>
      </c>
      <c r="D24" s="65">
        <f>SUM(D25:D27)</f>
        <v>772000</v>
      </c>
      <c r="E24" s="66">
        <f t="shared" ref="E24:N24" si="14">SUM(E25:E27)</f>
        <v>486400</v>
      </c>
      <c r="F24" s="65">
        <f t="shared" si="14"/>
        <v>498800</v>
      </c>
      <c r="G24" s="66">
        <f t="shared" si="14"/>
        <v>288000</v>
      </c>
      <c r="H24" s="65">
        <f t="shared" si="14"/>
        <v>536000</v>
      </c>
      <c r="I24" s="66">
        <f t="shared" si="14"/>
        <v>598000</v>
      </c>
      <c r="J24" s="65">
        <f t="shared" si="14"/>
        <v>660000</v>
      </c>
      <c r="K24" s="65">
        <f t="shared" si="14"/>
        <v>412000</v>
      </c>
      <c r="L24" s="66">
        <f t="shared" si="14"/>
        <v>312800</v>
      </c>
      <c r="M24" s="65">
        <f t="shared" si="14"/>
        <v>399600</v>
      </c>
      <c r="N24" s="65">
        <f t="shared" si="14"/>
        <v>647600</v>
      </c>
      <c r="O24" s="66">
        <f>SUM(O25:O27)</f>
        <v>635200</v>
      </c>
      <c r="P24" s="65">
        <f t="shared" ref="P24:S24" si="15">SUM(P25:P27)</f>
        <v>610400</v>
      </c>
      <c r="Q24" s="66">
        <f t="shared" si="15"/>
        <v>412000</v>
      </c>
      <c r="R24" s="65">
        <f t="shared" si="15"/>
        <v>536000</v>
      </c>
      <c r="S24" s="67">
        <f t="shared" si="15"/>
        <v>536000</v>
      </c>
      <c r="T24" s="56"/>
    </row>
    <row r="25" spans="2:20" ht="19">
      <c r="B25" s="42"/>
      <c r="C25" s="61" t="s">
        <v>62</v>
      </c>
      <c r="D25" s="62">
        <v>400000</v>
      </c>
      <c r="E25" s="62">
        <v>40000</v>
      </c>
      <c r="F25" s="62">
        <v>40000</v>
      </c>
      <c r="G25" s="62">
        <v>40000</v>
      </c>
      <c r="H25" s="62">
        <v>40000</v>
      </c>
      <c r="I25" s="62">
        <v>40000</v>
      </c>
      <c r="J25" s="62">
        <v>40000</v>
      </c>
      <c r="K25" s="62">
        <v>40000</v>
      </c>
      <c r="L25" s="62">
        <v>40000</v>
      </c>
      <c r="M25" s="62">
        <v>40000</v>
      </c>
      <c r="N25" s="62">
        <v>40000</v>
      </c>
      <c r="O25" s="62">
        <v>40000</v>
      </c>
      <c r="P25" s="62">
        <v>40000</v>
      </c>
      <c r="Q25" s="62">
        <v>40000</v>
      </c>
      <c r="R25" s="62">
        <v>40000</v>
      </c>
      <c r="S25" s="62">
        <v>40000</v>
      </c>
      <c r="T25" s="56"/>
    </row>
    <row r="26" spans="2:20" ht="19">
      <c r="B26" s="42"/>
      <c r="C26" s="61" t="s">
        <v>63</v>
      </c>
      <c r="D26" s="62">
        <f t="shared" ref="D26:S26" si="16">D9*1%</f>
        <v>74400</v>
      </c>
      <c r="E26" s="62">
        <f t="shared" si="16"/>
        <v>89280</v>
      </c>
      <c r="F26" s="62">
        <f t="shared" si="16"/>
        <v>91760</v>
      </c>
      <c r="G26" s="62">
        <f t="shared" si="16"/>
        <v>49600</v>
      </c>
      <c r="H26" s="62">
        <f t="shared" si="16"/>
        <v>99200</v>
      </c>
      <c r="I26" s="62">
        <f t="shared" si="16"/>
        <v>111600</v>
      </c>
      <c r="J26" s="62">
        <f t="shared" si="16"/>
        <v>124000</v>
      </c>
      <c r="K26" s="62">
        <f t="shared" si="16"/>
        <v>74400</v>
      </c>
      <c r="L26" s="62">
        <f t="shared" si="16"/>
        <v>54560</v>
      </c>
      <c r="M26" s="62">
        <f t="shared" si="16"/>
        <v>71920</v>
      </c>
      <c r="N26" s="62">
        <f t="shared" si="16"/>
        <v>121520</v>
      </c>
      <c r="O26" s="62">
        <f t="shared" si="16"/>
        <v>119040</v>
      </c>
      <c r="P26" s="62">
        <f t="shared" si="16"/>
        <v>114080</v>
      </c>
      <c r="Q26" s="62">
        <f t="shared" si="16"/>
        <v>74400</v>
      </c>
      <c r="R26" s="62">
        <f t="shared" si="16"/>
        <v>99200</v>
      </c>
      <c r="S26" s="62">
        <f t="shared" si="16"/>
        <v>99200</v>
      </c>
      <c r="T26" s="56"/>
    </row>
    <row r="27" spans="2:20" ht="19">
      <c r="B27" s="42"/>
      <c r="C27" s="61" t="s">
        <v>64</v>
      </c>
      <c r="D27" s="72">
        <f t="shared" ref="D27:S27" si="17">D9*4%</f>
        <v>297600</v>
      </c>
      <c r="E27" s="72">
        <f t="shared" si="17"/>
        <v>357120</v>
      </c>
      <c r="F27" s="72">
        <f t="shared" si="17"/>
        <v>367040</v>
      </c>
      <c r="G27" s="72">
        <f t="shared" si="17"/>
        <v>198400</v>
      </c>
      <c r="H27" s="72">
        <f t="shared" si="17"/>
        <v>396800</v>
      </c>
      <c r="I27" s="72">
        <f t="shared" si="17"/>
        <v>446400</v>
      </c>
      <c r="J27" s="72">
        <f t="shared" si="17"/>
        <v>496000</v>
      </c>
      <c r="K27" s="72">
        <f t="shared" si="17"/>
        <v>297600</v>
      </c>
      <c r="L27" s="72">
        <f t="shared" si="17"/>
        <v>218240</v>
      </c>
      <c r="M27" s="72">
        <f t="shared" si="17"/>
        <v>287680</v>
      </c>
      <c r="N27" s="72">
        <f t="shared" si="17"/>
        <v>486080</v>
      </c>
      <c r="O27" s="72">
        <f t="shared" si="17"/>
        <v>476160</v>
      </c>
      <c r="P27" s="72">
        <f t="shared" si="17"/>
        <v>456320</v>
      </c>
      <c r="Q27" s="72">
        <f t="shared" si="17"/>
        <v>297600</v>
      </c>
      <c r="R27" s="72">
        <f t="shared" si="17"/>
        <v>396800</v>
      </c>
      <c r="S27" s="72">
        <f t="shared" si="17"/>
        <v>396800</v>
      </c>
      <c r="T27" s="56"/>
    </row>
    <row r="28" spans="2:20" ht="19">
      <c r="B28" s="42"/>
      <c r="C28" s="64" t="s">
        <v>65</v>
      </c>
      <c r="D28" s="65">
        <f>SUM(D29:D31)</f>
        <v>146112</v>
      </c>
      <c r="E28" s="66">
        <f t="shared" ref="E28:N28" si="18">SUM(E29:E31)</f>
        <v>150634.40000000002</v>
      </c>
      <c r="F28" s="65">
        <f t="shared" si="18"/>
        <v>144304.80000000002</v>
      </c>
      <c r="G28" s="65">
        <f t="shared" si="18"/>
        <v>81908.000000000015</v>
      </c>
      <c r="H28" s="65">
        <f t="shared" si="18"/>
        <v>155316.00000000003</v>
      </c>
      <c r="I28" s="65">
        <f t="shared" si="18"/>
        <v>173668.00000000003</v>
      </c>
      <c r="J28" s="65">
        <f t="shared" si="18"/>
        <v>192020.00000000003</v>
      </c>
      <c r="K28" s="65">
        <f t="shared" si="18"/>
        <v>118612.00000000001</v>
      </c>
      <c r="L28" s="65">
        <f t="shared" si="18"/>
        <v>89248.800000000017</v>
      </c>
      <c r="M28" s="65">
        <f t="shared" si="18"/>
        <v>114941.60000000002</v>
      </c>
      <c r="N28" s="67">
        <f t="shared" si="18"/>
        <v>188349.60000000003</v>
      </c>
      <c r="O28" s="74">
        <f>SUM(O29:O31)</f>
        <v>184679.2</v>
      </c>
      <c r="P28" s="74">
        <f t="shared" ref="P28:S28" si="19">SUM(P29:P31)</f>
        <v>177338.40000000002</v>
      </c>
      <c r="Q28" s="74">
        <f t="shared" si="19"/>
        <v>118612.00000000001</v>
      </c>
      <c r="R28" s="74">
        <f t="shared" si="19"/>
        <v>155316.00000000003</v>
      </c>
      <c r="S28" s="74">
        <f t="shared" si="19"/>
        <v>155316.00000000003</v>
      </c>
      <c r="T28" s="56"/>
    </row>
    <row r="29" spans="2:20" ht="19">
      <c r="B29" s="42"/>
      <c r="C29" s="61" t="s">
        <v>66</v>
      </c>
      <c r="D29" s="62">
        <v>21000</v>
      </c>
      <c r="E29" s="62">
        <v>3500</v>
      </c>
      <c r="F29" s="62">
        <v>3500</v>
      </c>
      <c r="G29" s="62">
        <v>3500</v>
      </c>
      <c r="H29" s="62">
        <v>3500</v>
      </c>
      <c r="I29" s="62">
        <v>3500</v>
      </c>
      <c r="J29" s="62">
        <v>3500</v>
      </c>
      <c r="K29" s="62">
        <v>3500</v>
      </c>
      <c r="L29" s="62">
        <v>3500</v>
      </c>
      <c r="M29" s="62">
        <v>3500</v>
      </c>
      <c r="N29" s="62">
        <v>3500</v>
      </c>
      <c r="O29" s="62">
        <v>3500</v>
      </c>
      <c r="P29" s="62">
        <v>3500</v>
      </c>
      <c r="Q29" s="62">
        <v>3500</v>
      </c>
      <c r="R29" s="62">
        <v>3500</v>
      </c>
      <c r="S29" s="62">
        <v>3500</v>
      </c>
      <c r="T29" s="56"/>
    </row>
    <row r="30" spans="2:20" ht="19">
      <c r="B30" s="42"/>
      <c r="C30" s="61" t="s">
        <v>67</v>
      </c>
      <c r="D30" s="62">
        <f t="shared" ref="D30:S30" si="20">D9*80%*1.85%</f>
        <v>110112.00000000001</v>
      </c>
      <c r="E30" s="62">
        <f t="shared" si="20"/>
        <v>132134.40000000002</v>
      </c>
      <c r="F30" s="62">
        <f t="shared" si="20"/>
        <v>135804.80000000002</v>
      </c>
      <c r="G30" s="62">
        <f t="shared" si="20"/>
        <v>73408.000000000015</v>
      </c>
      <c r="H30" s="62">
        <f t="shared" si="20"/>
        <v>146816.00000000003</v>
      </c>
      <c r="I30" s="62">
        <f t="shared" si="20"/>
        <v>165168.00000000003</v>
      </c>
      <c r="J30" s="62">
        <f t="shared" si="20"/>
        <v>183520.00000000003</v>
      </c>
      <c r="K30" s="62">
        <f t="shared" si="20"/>
        <v>110112.00000000001</v>
      </c>
      <c r="L30" s="62">
        <f t="shared" si="20"/>
        <v>80748.800000000017</v>
      </c>
      <c r="M30" s="62">
        <f t="shared" si="20"/>
        <v>106441.60000000002</v>
      </c>
      <c r="N30" s="62">
        <f t="shared" si="20"/>
        <v>179849.60000000003</v>
      </c>
      <c r="O30" s="62">
        <f t="shared" si="20"/>
        <v>176179.20000000001</v>
      </c>
      <c r="P30" s="62">
        <f t="shared" si="20"/>
        <v>168838.40000000002</v>
      </c>
      <c r="Q30" s="62">
        <f t="shared" si="20"/>
        <v>110112.00000000001</v>
      </c>
      <c r="R30" s="62">
        <f t="shared" si="20"/>
        <v>146816.00000000003</v>
      </c>
      <c r="S30" s="62">
        <f t="shared" si="20"/>
        <v>146816.00000000003</v>
      </c>
      <c r="T30" s="56"/>
    </row>
    <row r="31" spans="2:20" ht="19">
      <c r="B31" s="42"/>
      <c r="C31" s="61" t="s">
        <v>68</v>
      </c>
      <c r="D31" s="62">
        <v>15000</v>
      </c>
      <c r="E31" s="62">
        <v>15000</v>
      </c>
      <c r="F31" s="62">
        <v>5000</v>
      </c>
      <c r="G31" s="62">
        <v>5000</v>
      </c>
      <c r="H31" s="62">
        <v>5000</v>
      </c>
      <c r="I31" s="62">
        <v>5000</v>
      </c>
      <c r="J31" s="62">
        <v>5000</v>
      </c>
      <c r="K31" s="62">
        <v>5000</v>
      </c>
      <c r="L31" s="62">
        <v>5000</v>
      </c>
      <c r="M31" s="62">
        <v>5000</v>
      </c>
      <c r="N31" s="62">
        <v>5000</v>
      </c>
      <c r="O31" s="62">
        <v>5000</v>
      </c>
      <c r="P31" s="62">
        <v>5000</v>
      </c>
      <c r="Q31" s="62">
        <v>5000</v>
      </c>
      <c r="R31" s="62">
        <v>5000</v>
      </c>
      <c r="S31" s="62">
        <v>5000</v>
      </c>
      <c r="T31" s="56"/>
    </row>
    <row r="32" spans="2:20" ht="19">
      <c r="B32" s="42"/>
      <c r="C32" s="64" t="s">
        <v>69</v>
      </c>
      <c r="D32" s="75"/>
      <c r="E32" s="75"/>
      <c r="F32" s="75"/>
      <c r="G32" s="75"/>
      <c r="H32" s="76"/>
      <c r="I32" s="75"/>
      <c r="J32" s="76"/>
      <c r="K32" s="75"/>
      <c r="L32" s="76"/>
      <c r="M32" s="75"/>
      <c r="N32" s="76"/>
      <c r="O32" s="75"/>
      <c r="P32" s="75"/>
      <c r="Q32" s="75"/>
      <c r="R32" s="77"/>
      <c r="S32" s="78"/>
      <c r="T32" s="56"/>
    </row>
    <row r="33" spans="2:21" ht="19">
      <c r="B33" s="42"/>
      <c r="C33" s="61" t="s">
        <v>70</v>
      </c>
      <c r="D33" s="77">
        <f>(30000*3)*43.2%</f>
        <v>38880.000000000007</v>
      </c>
      <c r="E33" s="77">
        <f t="shared" ref="E33:S33" si="21">(30000*3)*43.2%</f>
        <v>38880.000000000007</v>
      </c>
      <c r="F33" s="77">
        <f t="shared" si="21"/>
        <v>38880.000000000007</v>
      </c>
      <c r="G33" s="77">
        <f t="shared" si="21"/>
        <v>38880.000000000007</v>
      </c>
      <c r="H33" s="77">
        <f t="shared" si="21"/>
        <v>38880.000000000007</v>
      </c>
      <c r="I33" s="77">
        <f t="shared" si="21"/>
        <v>38880.000000000007</v>
      </c>
      <c r="J33" s="77">
        <f t="shared" si="21"/>
        <v>38880.000000000007</v>
      </c>
      <c r="K33" s="77">
        <f t="shared" si="21"/>
        <v>38880.000000000007</v>
      </c>
      <c r="L33" s="77">
        <f t="shared" si="21"/>
        <v>38880.000000000007</v>
      </c>
      <c r="M33" s="77">
        <f t="shared" si="21"/>
        <v>38880.000000000007</v>
      </c>
      <c r="N33" s="77">
        <f t="shared" si="21"/>
        <v>38880.000000000007</v>
      </c>
      <c r="O33" s="77">
        <f t="shared" si="21"/>
        <v>38880.000000000007</v>
      </c>
      <c r="P33" s="77">
        <f t="shared" si="21"/>
        <v>38880.000000000007</v>
      </c>
      <c r="Q33" s="77">
        <f t="shared" si="21"/>
        <v>38880.000000000007</v>
      </c>
      <c r="R33" s="77">
        <f t="shared" si="21"/>
        <v>38880.000000000007</v>
      </c>
      <c r="S33" s="77">
        <f t="shared" si="21"/>
        <v>38880.000000000007</v>
      </c>
      <c r="T33" s="56"/>
    </row>
    <row r="34" spans="2:21" ht="19">
      <c r="B34" s="42"/>
      <c r="C34" s="61" t="s">
        <v>71</v>
      </c>
      <c r="D34" s="62">
        <f t="shared" ref="D34:N34" si="22">(D9-D10)*15%</f>
        <v>244951.19999999998</v>
      </c>
      <c r="E34" s="62">
        <f t="shared" si="22"/>
        <v>493062.83999999991</v>
      </c>
      <c r="F34" s="62">
        <f t="shared" si="22"/>
        <v>518840.28</v>
      </c>
      <c r="G34" s="62">
        <f t="shared" si="22"/>
        <v>378538.8</v>
      </c>
      <c r="H34" s="62">
        <f t="shared" si="22"/>
        <v>827337.6</v>
      </c>
      <c r="I34" s="62">
        <f t="shared" si="22"/>
        <v>697459.79999999993</v>
      </c>
      <c r="J34" s="62">
        <f t="shared" si="22"/>
        <v>1050612</v>
      </c>
      <c r="K34" s="62">
        <f t="shared" si="22"/>
        <v>601813.19999999995</v>
      </c>
      <c r="L34" s="62">
        <f t="shared" si="22"/>
        <v>425443.68</v>
      </c>
      <c r="M34" s="62">
        <f t="shared" si="22"/>
        <v>340220.76000000007</v>
      </c>
      <c r="N34" s="62">
        <f t="shared" si="22"/>
        <v>786769.56</v>
      </c>
      <c r="O34" s="62">
        <f>(O9-O10)*15%+45842</f>
        <v>810284.12</v>
      </c>
      <c r="P34" s="62">
        <f>(P9-P10)*15%</f>
        <v>717537.23999999987</v>
      </c>
      <c r="Q34" s="62">
        <f>(Q9-Q10)*15%</f>
        <v>362548.2</v>
      </c>
      <c r="R34" s="62">
        <f>(R9-R10)*15%</f>
        <v>585822.6</v>
      </c>
      <c r="S34" s="62">
        <f>(S9-S10)*15%</f>
        <v>585822.6</v>
      </c>
      <c r="T34" s="56"/>
    </row>
    <row r="35" spans="2:21" ht="15.75" customHeight="1">
      <c r="B35" s="42"/>
      <c r="C35" s="79" t="s">
        <v>72</v>
      </c>
      <c r="D35" s="60">
        <f t="shared" ref="D35:S35" si="23">D9-D10-D34</f>
        <v>1388056.8</v>
      </c>
      <c r="E35" s="60">
        <f t="shared" si="23"/>
        <v>2794022.76</v>
      </c>
      <c r="F35" s="60">
        <f t="shared" si="23"/>
        <v>2940094.92</v>
      </c>
      <c r="G35" s="60">
        <f t="shared" si="23"/>
        <v>2145053.2000000002</v>
      </c>
      <c r="H35" s="60">
        <f t="shared" si="23"/>
        <v>4688246.4000000004</v>
      </c>
      <c r="I35" s="60">
        <f t="shared" si="23"/>
        <v>3952272.2</v>
      </c>
      <c r="J35" s="60">
        <f t="shared" si="23"/>
        <v>5953468</v>
      </c>
      <c r="K35" s="60">
        <f t="shared" si="23"/>
        <v>3410274.8</v>
      </c>
      <c r="L35" s="60">
        <f t="shared" si="23"/>
        <v>2410847.52</v>
      </c>
      <c r="M35" s="60">
        <f t="shared" si="23"/>
        <v>1927917.6400000004</v>
      </c>
      <c r="N35" s="60">
        <f t="shared" si="23"/>
        <v>4458360.84</v>
      </c>
      <c r="O35" s="60">
        <f t="shared" si="23"/>
        <v>4285996.68</v>
      </c>
      <c r="P35" s="60">
        <f t="shared" si="23"/>
        <v>4066044.36</v>
      </c>
      <c r="Q35" s="60">
        <f t="shared" si="23"/>
        <v>2054439.8</v>
      </c>
      <c r="R35" s="60">
        <f t="shared" si="23"/>
        <v>3319661.4</v>
      </c>
      <c r="S35" s="60">
        <f t="shared" si="23"/>
        <v>3319661.4</v>
      </c>
      <c r="T35" s="80"/>
    </row>
    <row r="36" spans="2:21" ht="15.75" customHeight="1">
      <c r="B36" s="42"/>
      <c r="C36" s="81" t="s">
        <v>73</v>
      </c>
      <c r="D36" s="82">
        <f>'Запуск '!D48:F48</f>
        <v>49320000</v>
      </c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3"/>
      <c r="Q36" s="84"/>
      <c r="R36" s="84"/>
      <c r="S36" s="84"/>
      <c r="T36" s="56"/>
      <c r="U36" s="38" t="s">
        <v>74</v>
      </c>
    </row>
    <row r="37" spans="2:21" ht="19.5" customHeight="1">
      <c r="B37" s="42"/>
      <c r="C37" s="81" t="s">
        <v>75</v>
      </c>
      <c r="D37" s="58">
        <f>D35-D36</f>
        <v>-47931943.200000003</v>
      </c>
      <c r="E37" s="58">
        <f t="shared" ref="E37:N37" si="24">D37+E35</f>
        <v>-45137920.440000005</v>
      </c>
      <c r="F37" s="58">
        <f t="shared" si="24"/>
        <v>-42197825.520000003</v>
      </c>
      <c r="G37" s="58">
        <f>F37+G35</f>
        <v>-40052772.32</v>
      </c>
      <c r="H37" s="58">
        <f t="shared" si="24"/>
        <v>-35364525.920000002</v>
      </c>
      <c r="I37" s="58">
        <f t="shared" si="24"/>
        <v>-31412253.720000003</v>
      </c>
      <c r="J37" s="58">
        <f t="shared" si="24"/>
        <v>-25458785.720000003</v>
      </c>
      <c r="K37" s="58">
        <f t="shared" si="24"/>
        <v>-22048510.920000002</v>
      </c>
      <c r="L37" s="58">
        <f t="shared" si="24"/>
        <v>-19637663.400000002</v>
      </c>
      <c r="M37" s="58">
        <f t="shared" si="24"/>
        <v>-17709745.760000002</v>
      </c>
      <c r="N37" s="58">
        <f t="shared" si="24"/>
        <v>-13251384.920000002</v>
      </c>
      <c r="O37" s="85">
        <f>N37+O35</f>
        <v>-8965388.2400000021</v>
      </c>
      <c r="P37" s="85">
        <f t="shared" ref="P37:S37" si="25">O37+P35</f>
        <v>-4899343.8800000027</v>
      </c>
      <c r="Q37" s="85">
        <f t="shared" si="25"/>
        <v>-2844904.0800000029</v>
      </c>
      <c r="R37" s="85">
        <f t="shared" si="25"/>
        <v>474757.31999999704</v>
      </c>
      <c r="S37" s="85">
        <f t="shared" si="25"/>
        <v>3794418.7199999969</v>
      </c>
      <c r="T37" s="56"/>
    </row>
    <row r="38" spans="2:21" ht="18" customHeight="1">
      <c r="B38" s="42"/>
      <c r="C38" s="86" t="s">
        <v>76</v>
      </c>
      <c r="D38" s="87">
        <f>IF(D35&lt;0,"",D5)</f>
        <v>17</v>
      </c>
      <c r="E38" s="87" t="str">
        <f t="shared" ref="E38:N38" si="26">IF(E35&lt;0,"",IF(D35&gt;0,"",E5))</f>
        <v/>
      </c>
      <c r="F38" s="87" t="str">
        <f t="shared" si="26"/>
        <v/>
      </c>
      <c r="G38" s="88" t="str">
        <f t="shared" si="26"/>
        <v/>
      </c>
      <c r="H38" s="87" t="str">
        <f t="shared" si="26"/>
        <v/>
      </c>
      <c r="I38" s="87" t="str">
        <f t="shared" si="26"/>
        <v/>
      </c>
      <c r="J38" s="87" t="str">
        <f t="shared" si="26"/>
        <v/>
      </c>
      <c r="K38" s="87" t="str">
        <f t="shared" si="26"/>
        <v/>
      </c>
      <c r="L38" s="87" t="str">
        <f t="shared" si="26"/>
        <v/>
      </c>
      <c r="M38" s="87" t="str">
        <f t="shared" si="26"/>
        <v/>
      </c>
      <c r="N38" s="87" t="str">
        <f t="shared" si="26"/>
        <v/>
      </c>
      <c r="O38" s="89"/>
      <c r="P38" s="89"/>
      <c r="Q38" s="89"/>
      <c r="R38" s="89"/>
      <c r="S38" s="89"/>
      <c r="T38" s="56"/>
    </row>
    <row r="39" spans="2:21" ht="19" thickBot="1">
      <c r="B39" s="42"/>
      <c r="C39" s="90" t="s">
        <v>77</v>
      </c>
      <c r="D39" s="91" t="str">
        <f>IF(D37&lt;0,"",D5)</f>
        <v/>
      </c>
      <c r="E39" s="91" t="str">
        <f t="shared" ref="E39:S39" si="27">IF(E37&lt;0,"",IF(D37&gt;0,"",E5))</f>
        <v/>
      </c>
      <c r="F39" s="91" t="str">
        <f t="shared" si="27"/>
        <v/>
      </c>
      <c r="G39" s="91" t="str">
        <f t="shared" si="27"/>
        <v/>
      </c>
      <c r="H39" s="91" t="str">
        <f t="shared" si="27"/>
        <v/>
      </c>
      <c r="I39" s="91" t="str">
        <f t="shared" si="27"/>
        <v/>
      </c>
      <c r="J39" s="91" t="str">
        <f t="shared" si="27"/>
        <v/>
      </c>
      <c r="K39" s="91" t="str">
        <f t="shared" si="27"/>
        <v/>
      </c>
      <c r="L39" s="91" t="str">
        <f t="shared" si="27"/>
        <v/>
      </c>
      <c r="M39" s="91" t="str">
        <f t="shared" si="27"/>
        <v/>
      </c>
      <c r="N39" s="91" t="str">
        <f t="shared" si="27"/>
        <v/>
      </c>
      <c r="O39" s="91" t="str">
        <f t="shared" si="27"/>
        <v/>
      </c>
      <c r="P39" s="91" t="str">
        <f t="shared" si="27"/>
        <v/>
      </c>
      <c r="Q39" s="91" t="str">
        <f t="shared" si="27"/>
        <v/>
      </c>
      <c r="R39" s="91">
        <f t="shared" si="27"/>
        <v>31</v>
      </c>
      <c r="S39" s="91" t="str">
        <f t="shared" si="27"/>
        <v/>
      </c>
      <c r="T39" s="92"/>
    </row>
    <row r="40" spans="2:21" ht="15" customHeight="1" thickBot="1">
      <c r="B40" s="42"/>
      <c r="C40" s="93"/>
      <c r="D40" s="93"/>
      <c r="E40" s="93"/>
      <c r="F40" s="93"/>
      <c r="G40" s="93"/>
      <c r="H40" s="93"/>
      <c r="I40" s="93"/>
      <c r="J40" s="94"/>
      <c r="K40" s="94"/>
      <c r="L40" s="95"/>
      <c r="M40" s="95"/>
      <c r="N40" s="95"/>
      <c r="O40" s="95"/>
      <c r="P40" s="95"/>
      <c r="Q40" s="95"/>
      <c r="R40" s="95"/>
      <c r="S40" s="95"/>
      <c r="T40" s="96"/>
    </row>
    <row r="41" spans="2:21" ht="16.5" customHeight="1">
      <c r="B41" s="42"/>
      <c r="C41" s="163" t="s">
        <v>78</v>
      </c>
      <c r="D41" s="164"/>
      <c r="E41" s="165"/>
      <c r="F41" s="95"/>
      <c r="G41" s="166" t="s">
        <v>78</v>
      </c>
      <c r="H41" s="167"/>
      <c r="I41" s="167"/>
      <c r="J41" s="168"/>
      <c r="K41" s="97"/>
      <c r="L41" s="98"/>
      <c r="M41" s="99"/>
      <c r="N41" s="100"/>
      <c r="O41" s="100"/>
      <c r="P41" s="100"/>
      <c r="Q41" s="100"/>
      <c r="R41" s="100"/>
      <c r="S41" s="100"/>
      <c r="T41" s="101"/>
    </row>
    <row r="42" spans="2:21" ht="15" customHeight="1">
      <c r="B42" s="42"/>
      <c r="C42" s="169" t="s">
        <v>79</v>
      </c>
      <c r="D42" s="171">
        <f>AVERAGE(D35:R35)</f>
        <v>3319650.4879999994</v>
      </c>
      <c r="E42" s="172"/>
      <c r="F42" s="97"/>
      <c r="G42" s="183" t="s">
        <v>80</v>
      </c>
      <c r="H42" s="184"/>
      <c r="I42" s="187">
        <f>D42/Запуск!D6</f>
        <v>474.23578399999991</v>
      </c>
      <c r="J42" s="188"/>
      <c r="K42" s="97"/>
      <c r="L42" s="98"/>
      <c r="M42" s="99"/>
      <c r="N42" s="100"/>
      <c r="O42" s="100"/>
      <c r="P42" s="100"/>
      <c r="Q42" s="100"/>
      <c r="R42" s="100"/>
      <c r="S42" s="100"/>
      <c r="T42" s="101"/>
    </row>
    <row r="43" spans="2:21" ht="15" customHeight="1">
      <c r="B43" s="42"/>
      <c r="C43" s="180"/>
      <c r="D43" s="181"/>
      <c r="E43" s="182"/>
      <c r="F43" s="97"/>
      <c r="G43" s="185"/>
      <c r="H43" s="186"/>
      <c r="I43" s="187"/>
      <c r="J43" s="188"/>
      <c r="K43" s="97"/>
      <c r="L43" s="98"/>
      <c r="M43" s="99"/>
      <c r="N43" s="100"/>
      <c r="O43" s="100"/>
      <c r="P43" s="100"/>
      <c r="Q43" s="100"/>
      <c r="R43" s="100"/>
      <c r="S43" s="100"/>
      <c r="T43" s="101"/>
    </row>
    <row r="44" spans="2:21" ht="15" customHeight="1">
      <c r="B44" s="42"/>
      <c r="C44" s="169" t="s">
        <v>81</v>
      </c>
      <c r="D44" s="171">
        <f>SUM(D38:S38)</f>
        <v>17</v>
      </c>
      <c r="E44" s="172"/>
      <c r="F44" s="97"/>
      <c r="G44" s="175" t="s">
        <v>81</v>
      </c>
      <c r="H44" s="176"/>
      <c r="I44" s="179">
        <f>D44</f>
        <v>17</v>
      </c>
      <c r="J44" s="176"/>
      <c r="K44" s="97"/>
      <c r="L44" s="98"/>
      <c r="M44" s="99"/>
      <c r="N44" s="100"/>
      <c r="O44" s="100"/>
      <c r="P44" s="100"/>
      <c r="Q44" s="100"/>
      <c r="R44" s="100"/>
      <c r="S44" s="100"/>
      <c r="T44" s="101"/>
    </row>
    <row r="45" spans="2:21" ht="15" customHeight="1">
      <c r="B45" s="42"/>
      <c r="C45" s="180"/>
      <c r="D45" s="181"/>
      <c r="E45" s="182"/>
      <c r="F45" s="97"/>
      <c r="G45" s="177"/>
      <c r="H45" s="178"/>
      <c r="I45" s="177"/>
      <c r="J45" s="178"/>
      <c r="K45" s="97"/>
      <c r="L45" s="98"/>
      <c r="M45" s="99"/>
      <c r="N45" s="100"/>
      <c r="O45" s="100"/>
      <c r="P45" s="100"/>
      <c r="Q45" s="100"/>
      <c r="R45" s="100"/>
      <c r="S45" s="100"/>
      <c r="T45" s="101"/>
    </row>
    <row r="46" spans="2:21" ht="15" customHeight="1">
      <c r="B46" s="42"/>
      <c r="C46" s="169" t="s">
        <v>82</v>
      </c>
      <c r="D46" s="171">
        <f>SUM(D39:S39)</f>
        <v>31</v>
      </c>
      <c r="E46" s="172"/>
      <c r="F46" s="97"/>
      <c r="G46" s="175" t="s">
        <v>82</v>
      </c>
      <c r="H46" s="176"/>
      <c r="I46" s="179">
        <f>D46</f>
        <v>31</v>
      </c>
      <c r="J46" s="176"/>
      <c r="K46" s="97"/>
      <c r="L46" s="98"/>
      <c r="M46" s="102"/>
      <c r="N46" s="102"/>
      <c r="O46" s="102"/>
      <c r="P46" s="102"/>
      <c r="Q46" s="102"/>
      <c r="R46" s="102"/>
      <c r="S46" s="102"/>
      <c r="T46" s="101"/>
    </row>
    <row r="47" spans="2:21" ht="14.25" customHeight="1" thickBot="1">
      <c r="B47" s="42"/>
      <c r="C47" s="170"/>
      <c r="D47" s="173"/>
      <c r="E47" s="174"/>
      <c r="F47" s="97"/>
      <c r="G47" s="177"/>
      <c r="H47" s="178"/>
      <c r="I47" s="177"/>
      <c r="J47" s="178"/>
      <c r="K47" s="97"/>
      <c r="L47" s="103"/>
      <c r="M47" s="103"/>
      <c r="N47" s="102"/>
      <c r="O47" s="102"/>
      <c r="P47" s="102"/>
      <c r="Q47" s="102"/>
      <c r="R47" s="102"/>
      <c r="S47" s="102"/>
      <c r="T47" s="101"/>
    </row>
    <row r="48" spans="2:21" ht="23" customHeight="1" thickBot="1">
      <c r="B48" s="104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6"/>
    </row>
  </sheetData>
  <sheetProtection algorithmName="SHA-512" hashValue="NKOsPFUA0iyFAQIgE0F2rGq4MV2XOp4rzoMM0dGqkW0NasCiUFutcWEAWVxN9aD9aA50JbDGtb9P9z7b93o/qg==" saltValue="Fks2sRZqXUZUc/sdupW1yQ==" spinCount="100000" sheet="1" formatCells="0" formatColumns="0" formatRows="0" insertColumns="0" insertRows="0" insertHyperlinks="0" deleteColumns="0" deleteRows="0" sort="0" autoFilter="0" pivotTables="0"/>
  <mergeCells count="16">
    <mergeCell ref="B2:T3"/>
    <mergeCell ref="M4:S4"/>
    <mergeCell ref="C41:E41"/>
    <mergeCell ref="G41:J41"/>
    <mergeCell ref="C46:C47"/>
    <mergeCell ref="D46:E47"/>
    <mergeCell ref="G46:H47"/>
    <mergeCell ref="I46:J47"/>
    <mergeCell ref="C42:C43"/>
    <mergeCell ref="D42:E43"/>
    <mergeCell ref="G42:H43"/>
    <mergeCell ref="I42:J43"/>
    <mergeCell ref="C44:C45"/>
    <mergeCell ref="D44:E45"/>
    <mergeCell ref="G44:H45"/>
    <mergeCell ref="I44:J45"/>
  </mergeCells>
  <conditionalFormatting sqref="D35:S35 D37:S37">
    <cfRule type="cellIs" dxfId="1" priority="1" operator="lessThan">
      <formula>0</formula>
    </cfRule>
  </conditionalFormatting>
  <dataValidations count="1">
    <dataValidation type="list" allowBlank="1" showInputMessage="1" showErrorMessage="1" sqref="L45 L47" xr:uid="{00CC00F8-00F6-458E-BDC0-00ED007800F1}">
      <formula1>"1,2"</formula1>
    </dataValidation>
  </dataValidations>
  <pageMargins left="0.70866141732283472" right="0.70866141732283472" top="0.74803149606299213" bottom="0.74803149606299213" header="0.31496062992125984" footer="0.31496062992125984"/>
  <pageSetup paperSize="9" scale="23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6">
    <tabColor rgb="FF12BDAB"/>
    <pageSetUpPr fitToPage="1"/>
  </sheetPr>
  <dimension ref="B1:F43"/>
  <sheetViews>
    <sheetView showGridLines="0" topLeftCell="B23" zoomScale="90" zoomScaleNormal="90" workbookViewId="0">
      <selection activeCell="D6" sqref="D6"/>
    </sheetView>
  </sheetViews>
  <sheetFormatPr baseColWidth="10" defaultColWidth="9.1640625" defaultRowHeight="15" customHeight="1"/>
  <cols>
    <col min="1" max="1" width="2.6640625" style="107" customWidth="1"/>
    <col min="2" max="2" width="4.1640625" style="107" customWidth="1"/>
    <col min="3" max="3" width="48.83203125" style="107" customWidth="1"/>
    <col min="4" max="5" width="18.5" style="107" customWidth="1"/>
    <col min="6" max="6" width="4.1640625" style="107" customWidth="1"/>
    <col min="7" max="16384" width="9.1640625" style="107"/>
  </cols>
  <sheetData>
    <row r="1" spans="2:6" ht="15" customHeight="1" thickBot="1"/>
    <row r="2" spans="2:6" ht="97.5" customHeight="1">
      <c r="B2" s="189" t="s">
        <v>101</v>
      </c>
      <c r="C2" s="190"/>
      <c r="D2" s="190"/>
      <c r="E2" s="190"/>
      <c r="F2" s="191"/>
    </row>
    <row r="3" spans="2:6" ht="27.5" customHeight="1">
      <c r="B3" s="192"/>
      <c r="C3" s="193"/>
      <c r="D3" s="193"/>
      <c r="E3" s="193"/>
      <c r="F3" s="194"/>
    </row>
    <row r="4" spans="2:6" ht="17" customHeight="1">
      <c r="B4" s="192"/>
      <c r="C4" s="193"/>
      <c r="D4" s="193"/>
      <c r="E4" s="193"/>
      <c r="F4" s="194"/>
    </row>
    <row r="5" spans="2:6" ht="15" customHeight="1" thickBot="1">
      <c r="B5" s="192"/>
      <c r="C5" s="193"/>
      <c r="D5" s="193"/>
      <c r="E5" s="193"/>
      <c r="F5" s="194"/>
    </row>
    <row r="6" spans="2:6" ht="34" thickBot="1">
      <c r="B6" s="108"/>
      <c r="C6" s="109" t="s">
        <v>83</v>
      </c>
      <c r="D6" s="130">
        <v>5000</v>
      </c>
      <c r="E6" s="111"/>
      <c r="F6" s="112"/>
    </row>
    <row r="7" spans="2:6" ht="28" customHeight="1">
      <c r="B7" s="108"/>
      <c r="C7" s="113"/>
      <c r="D7" s="111"/>
      <c r="E7" s="111"/>
      <c r="F7" s="112"/>
    </row>
    <row r="8" spans="2:6" ht="23">
      <c r="B8" s="108"/>
      <c r="C8" s="113"/>
      <c r="D8" s="114" t="s">
        <v>84</v>
      </c>
      <c r="E8" s="114"/>
      <c r="F8" s="112"/>
    </row>
    <row r="9" spans="2:6" ht="7" customHeight="1" thickBot="1">
      <c r="B9" s="108"/>
      <c r="C9" s="113"/>
      <c r="D9" s="111"/>
      <c r="E9" s="111"/>
      <c r="F9" s="112"/>
    </row>
    <row r="10" spans="2:6" ht="34" thickBot="1">
      <c r="B10" s="108"/>
      <c r="C10" s="109" t="s">
        <v>43</v>
      </c>
      <c r="D10" s="110">
        <v>90</v>
      </c>
      <c r="E10" s="111"/>
      <c r="F10" s="112"/>
    </row>
    <row r="11" spans="2:6" ht="15" customHeight="1">
      <c r="B11" s="108"/>
      <c r="C11" s="115"/>
      <c r="D11" s="115"/>
      <c r="E11" s="115"/>
      <c r="F11" s="116"/>
    </row>
    <row r="12" spans="2:6" ht="15" customHeight="1">
      <c r="B12" s="108"/>
      <c r="C12" s="117"/>
      <c r="D12" s="115"/>
      <c r="E12" s="115"/>
      <c r="F12" s="116"/>
    </row>
    <row r="13" spans="2:6" ht="18">
      <c r="B13" s="108"/>
      <c r="C13" s="115"/>
      <c r="D13" s="114" t="s">
        <v>84</v>
      </c>
      <c r="E13" s="114"/>
      <c r="F13" s="116"/>
    </row>
    <row r="14" spans="2:6" ht="8" customHeight="1" thickBot="1">
      <c r="B14" s="108"/>
      <c r="C14" s="115"/>
      <c r="D14" s="114"/>
      <c r="E14" s="114"/>
      <c r="F14" s="116"/>
    </row>
    <row r="15" spans="2:6" ht="45" thickBot="1">
      <c r="B15" s="118"/>
      <c r="C15" s="119" t="s">
        <v>85</v>
      </c>
      <c r="D15" s="120" t="s">
        <v>102</v>
      </c>
      <c r="E15" s="121" t="s">
        <v>104</v>
      </c>
      <c r="F15" s="122"/>
    </row>
    <row r="16" spans="2:6" ht="19">
      <c r="B16" s="118"/>
      <c r="C16" s="59" t="s">
        <v>87</v>
      </c>
      <c r="D16" s="123">
        <f>D17+D22+D25+D30+D34+D39</f>
        <v>10431290</v>
      </c>
      <c r="E16" s="60">
        <f>D16/Запуск!$D$6</f>
        <v>1490.1842857142858</v>
      </c>
      <c r="F16" s="124"/>
    </row>
    <row r="17" spans="2:6" ht="19">
      <c r="B17" s="118"/>
      <c r="C17" s="59" t="s">
        <v>88</v>
      </c>
      <c r="D17" s="78">
        <f>SUM(D18:D21)</f>
        <v>1915000</v>
      </c>
      <c r="E17" s="60">
        <f>D17/Запуск!$D$6</f>
        <v>273.57142857142856</v>
      </c>
      <c r="F17" s="124"/>
    </row>
    <row r="18" spans="2:6" ht="19">
      <c r="B18" s="118"/>
      <c r="C18" s="61" t="s">
        <v>49</v>
      </c>
      <c r="D18" s="125">
        <v>1748000</v>
      </c>
      <c r="E18" s="60">
        <f>D18/Запуск!$D$6</f>
        <v>249.71428571428572</v>
      </c>
      <c r="F18" s="124"/>
    </row>
    <row r="19" spans="2:6" ht="19">
      <c r="B19" s="118"/>
      <c r="C19" s="61" t="s">
        <v>50</v>
      </c>
      <c r="D19" s="125">
        <v>130000</v>
      </c>
      <c r="E19" s="60">
        <f>D19/Запуск!$D$6</f>
        <v>18.571428571428573</v>
      </c>
      <c r="F19" s="124"/>
    </row>
    <row r="20" spans="2:6" ht="19">
      <c r="B20" s="118"/>
      <c r="C20" s="61" t="s">
        <v>51</v>
      </c>
      <c r="D20" s="125">
        <v>21000</v>
      </c>
      <c r="E20" s="60">
        <f>D20/Запуск!$D$6</f>
        <v>3</v>
      </c>
      <c r="F20" s="124"/>
    </row>
    <row r="21" spans="2:6" ht="19">
      <c r="B21" s="118"/>
      <c r="C21" s="61" t="s">
        <v>52</v>
      </c>
      <c r="D21" s="125">
        <v>16000</v>
      </c>
      <c r="E21" s="60">
        <f>D21/Запуск!$D$6</f>
        <v>2.2857142857142856</v>
      </c>
      <c r="F21" s="124"/>
    </row>
    <row r="22" spans="2:6" ht="19">
      <c r="B22" s="118"/>
      <c r="C22" s="59" t="s">
        <v>54</v>
      </c>
      <c r="D22" s="123">
        <v>3780000</v>
      </c>
      <c r="E22" s="60">
        <f>D22/Запуск!$D$6</f>
        <v>540</v>
      </c>
      <c r="F22" s="124"/>
    </row>
    <row r="23" spans="2:6" ht="19">
      <c r="B23" s="118"/>
      <c r="C23" s="61" t="s">
        <v>94</v>
      </c>
      <c r="D23" s="125">
        <f>D41*18%+30000</f>
        <v>2541000</v>
      </c>
      <c r="E23" s="60">
        <f>D23/Запуск!$D$6</f>
        <v>363</v>
      </c>
      <c r="F23" s="124"/>
    </row>
    <row r="24" spans="2:6" ht="19">
      <c r="B24" s="118"/>
      <c r="C24" s="61" t="s">
        <v>103</v>
      </c>
      <c r="D24" s="125">
        <v>300000</v>
      </c>
      <c r="E24" s="60">
        <f>D24/Запуск!$D$6</f>
        <v>42.857142857142854</v>
      </c>
      <c r="F24" s="124"/>
    </row>
    <row r="25" spans="2:6" ht="19">
      <c r="B25" s="118"/>
      <c r="C25" s="59" t="s">
        <v>57</v>
      </c>
      <c r="D25" s="123">
        <f>SUM(D26:D29)</f>
        <v>3250350</v>
      </c>
      <c r="E25" s="60">
        <f>D25/Запуск!$D$6</f>
        <v>464.33571428571429</v>
      </c>
      <c r="F25" s="124"/>
    </row>
    <row r="26" spans="2:6" ht="19">
      <c r="B26" s="118"/>
      <c r="C26" s="61" t="s">
        <v>58</v>
      </c>
      <c r="D26" s="125">
        <f>D41*1%</f>
        <v>139500</v>
      </c>
      <c r="E26" s="60">
        <f>D26/Запуск!$D$6</f>
        <v>19.928571428571427</v>
      </c>
      <c r="F26" s="124"/>
    </row>
    <row r="27" spans="2:6" ht="19">
      <c r="B27" s="118"/>
      <c r="C27" s="61" t="s">
        <v>105</v>
      </c>
      <c r="D27" s="125">
        <f>D41*40%*35%</f>
        <v>1952999.9999999998</v>
      </c>
      <c r="E27" s="60">
        <f>D27/Запуск!$D$6</f>
        <v>278.99999999999994</v>
      </c>
      <c r="F27" s="124"/>
    </row>
    <row r="28" spans="2:6" ht="19">
      <c r="B28" s="118"/>
      <c r="C28" s="61" t="s">
        <v>25</v>
      </c>
      <c r="D28" s="125">
        <f>D41*60%*13%</f>
        <v>1088100</v>
      </c>
      <c r="E28" s="60">
        <f>D28/Запуск!$D$6</f>
        <v>155.44285714285715</v>
      </c>
      <c r="F28" s="124"/>
    </row>
    <row r="29" spans="2:6" ht="19">
      <c r="B29" s="118"/>
      <c r="C29" s="61" t="s">
        <v>60</v>
      </c>
      <c r="D29" s="125">
        <f>D41*0.5%</f>
        <v>69750</v>
      </c>
      <c r="E29" s="60">
        <f>D29/Запуск!$D$6</f>
        <v>9.9642857142857135</v>
      </c>
      <c r="F29" s="124"/>
    </row>
    <row r="30" spans="2:6" ht="19">
      <c r="B30" s="118"/>
      <c r="C30" s="59" t="s">
        <v>61</v>
      </c>
      <c r="D30" s="123">
        <f>SUM(D31:D33)</f>
        <v>969600</v>
      </c>
      <c r="E30" s="60">
        <f>D30/Запуск!$D$6</f>
        <v>138.51428571428571</v>
      </c>
      <c r="F30" s="124"/>
    </row>
    <row r="31" spans="2:6" ht="19">
      <c r="B31" s="118"/>
      <c r="C31" s="61" t="s">
        <v>62</v>
      </c>
      <c r="D31" s="125">
        <v>300000</v>
      </c>
      <c r="E31" s="60">
        <f>D31/Запуск!$D$6</f>
        <v>42.857142857142854</v>
      </c>
      <c r="F31" s="124"/>
    </row>
    <row r="32" spans="2:6" ht="19">
      <c r="B32" s="118"/>
      <c r="C32" s="61" t="s">
        <v>89</v>
      </c>
      <c r="D32" s="125">
        <f>D41*0.8%</f>
        <v>111600</v>
      </c>
      <c r="E32" s="60">
        <f>D32/Запуск!$D$6</f>
        <v>15.942857142857143</v>
      </c>
      <c r="F32" s="124"/>
    </row>
    <row r="33" spans="2:6" ht="19">
      <c r="B33" s="118"/>
      <c r="C33" s="61" t="s">
        <v>64</v>
      </c>
      <c r="D33" s="125">
        <f>D41*4%</f>
        <v>558000</v>
      </c>
      <c r="E33" s="60">
        <f>D33/Запуск!$D$6</f>
        <v>79.714285714285708</v>
      </c>
      <c r="F33" s="124"/>
    </row>
    <row r="34" spans="2:6" ht="19">
      <c r="B34" s="118"/>
      <c r="C34" s="59" t="s">
        <v>65</v>
      </c>
      <c r="D34" s="123">
        <f>SUM(D35:D37)</f>
        <v>477460</v>
      </c>
      <c r="E34" s="60">
        <f>D34/Запуск!$D$6</f>
        <v>68.208571428571432</v>
      </c>
      <c r="F34" s="124"/>
    </row>
    <row r="35" spans="2:6" ht="19">
      <c r="B35" s="118"/>
      <c r="C35" s="61" t="s">
        <v>66</v>
      </c>
      <c r="D35" s="125">
        <v>21000</v>
      </c>
      <c r="E35" s="60">
        <f>D35/Запуск!$D$6</f>
        <v>3</v>
      </c>
      <c r="F35" s="124"/>
    </row>
    <row r="36" spans="2:6" ht="19">
      <c r="B36" s="118"/>
      <c r="C36" s="61" t="s">
        <v>67</v>
      </c>
      <c r="D36" s="125">
        <f>(D41*80%)*1.85%</f>
        <v>206460.00000000003</v>
      </c>
      <c r="E36" s="60">
        <f>D36/Запуск!$D$6</f>
        <v>29.49428571428572</v>
      </c>
      <c r="F36" s="124"/>
    </row>
    <row r="37" spans="2:6" ht="19">
      <c r="B37" s="118"/>
      <c r="C37" s="61" t="s">
        <v>68</v>
      </c>
      <c r="D37" s="125">
        <v>250000</v>
      </c>
      <c r="E37" s="60">
        <f>D37/Запуск!$D$6</f>
        <v>35.714285714285715</v>
      </c>
      <c r="F37" s="124"/>
    </row>
    <row r="38" spans="2:6" ht="19">
      <c r="B38" s="118"/>
      <c r="C38" s="59" t="s">
        <v>69</v>
      </c>
      <c r="D38" s="123"/>
      <c r="E38" s="60"/>
      <c r="F38" s="124"/>
    </row>
    <row r="39" spans="2:6" ht="19">
      <c r="B39" s="118"/>
      <c r="C39" s="61" t="s">
        <v>70</v>
      </c>
      <c r="D39" s="125">
        <f>'Прибыль, окупаемость '!D33</f>
        <v>38880.000000000007</v>
      </c>
      <c r="E39" s="60">
        <f>D39/Запуск!$D$6</f>
        <v>5.5542857142857152</v>
      </c>
      <c r="F39" s="122"/>
    </row>
    <row r="40" spans="2:6" ht="19">
      <c r="B40" s="118"/>
      <c r="C40" s="61" t="s">
        <v>90</v>
      </c>
      <c r="D40" s="125">
        <f>(D41-D16)*15%</f>
        <v>527806.5</v>
      </c>
      <c r="E40" s="60">
        <f>D40/Запуск!$D$6</f>
        <v>75.400928571428565</v>
      </c>
      <c r="F40" s="122"/>
    </row>
    <row r="41" spans="2:6" ht="19">
      <c r="B41" s="118"/>
      <c r="C41" s="61" t="s">
        <v>91</v>
      </c>
      <c r="D41" s="125">
        <f>D6*D10*31</f>
        <v>13950000</v>
      </c>
      <c r="E41" s="60">
        <f>D41/Запуск!$D$6</f>
        <v>1992.8571428571429</v>
      </c>
      <c r="F41" s="122"/>
    </row>
    <row r="42" spans="2:6" ht="19">
      <c r="B42" s="118"/>
      <c r="C42" s="59" t="s">
        <v>92</v>
      </c>
      <c r="D42" s="126">
        <f>(D41-D16-D40)</f>
        <v>2990903.5</v>
      </c>
      <c r="E42" s="60">
        <f>D42/Запуск!$D$6</f>
        <v>427.27192857142859</v>
      </c>
      <c r="F42" s="122"/>
    </row>
    <row r="43" spans="2:6" ht="22.5" customHeight="1" thickBot="1">
      <c r="B43" s="127"/>
      <c r="C43" s="128"/>
      <c r="D43" s="128"/>
      <c r="E43" s="128"/>
      <c r="F43" s="129"/>
    </row>
  </sheetData>
  <sheetProtection algorithmName="SHA-512" hashValue="J/zE0q8tmf5YVinpdLpmRJU/IR9oQ6ROxEBdVuzZxZ8ni8pfy71PtBoBkKt6/cCx8YFZOdQi+UaW/Jal7zGkiw==" saltValue="N9uwtV0ANO3I58ByyC5S4A==" spinCount="100000" sheet="1" formatCells="0" formatColumns="0" formatRows="0" insertColumns="0" insertRows="0" insertHyperlinks="0" deleteColumns="0" deleteRows="0" sort="0" autoFilter="0" pivotTables="0"/>
  <mergeCells count="1">
    <mergeCell ref="B2:F5"/>
  </mergeCells>
  <conditionalFormatting sqref="D40">
    <cfRule type="cellIs" dxfId="0" priority="1" operator="lessThan">
      <formula>0</formula>
    </cfRule>
  </conditionalFormatting>
  <dataValidations count="2">
    <dataValidation type="list" allowBlank="1" showInputMessage="1" showErrorMessage="1" sqref="D6" xr:uid="{0001001B-005E-4C70-A1BA-00F3006A00FE}">
      <formula1>"2300,2500,3000,3500,4000,4500,5000"</formula1>
    </dataValidation>
    <dataValidation type="list" allowBlank="1" showInputMessage="1" showErrorMessage="1" sqref="D10" xr:uid="{008900B0-00E8-4F98-8A44-00650030008C}">
      <formula1>"18,20,25,30,35,40,45,50,60,70,80,90,100,110,120,130,140,150,160,170,180,190,200"</formula1>
    </dataValidation>
  </dataValidations>
  <pageMargins left="0.70866141732283472" right="0.70866141732283472" top="0.74803149606299213" bottom="0.74803149606299213" header="0.31496062992125984" footer="0.31496062992125984"/>
  <pageSetup paperSize="9" scale="23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Saudya</vt:lpstr>
      <vt:lpstr>Запуск</vt:lpstr>
      <vt:lpstr>Прибыль, окупаемость</vt:lpstr>
      <vt:lpstr>Калькулятор</vt:lpstr>
      <vt:lpstr>Запуск </vt:lpstr>
      <vt:lpstr>Прибыль, окупаемость </vt:lpstr>
      <vt:lpstr>Калькулятор </vt:lpstr>
      <vt:lpstr>Средний_чек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Булат</dc:creator>
  <cp:lastModifiedBy>Microsoft Office User</cp:lastModifiedBy>
  <cp:revision>1</cp:revision>
  <dcterms:created xsi:type="dcterms:W3CDTF">2015-06-28T20:32:06Z</dcterms:created>
  <dcterms:modified xsi:type="dcterms:W3CDTF">2025-02-21T07:17:36Z</dcterms:modified>
</cp:coreProperties>
</file>