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8758E6-5021-4B56-8622-7591962493BD}" xr6:coauthVersionLast="43" xr6:coauthVersionMax="43" xr10:uidLastSave="{00000000-0000-0000-0000-000000000000}"/>
  <bookViews>
    <workbookView xWindow="-120" yWindow="-120" windowWidth="29040" windowHeight="15840" activeTab="7" xr2:uid="{00000000-000D-0000-FFFF-FFFF00000000}"/>
  </bookViews>
  <sheets>
    <sheet name="Input data" sheetId="5" r:id="rId1"/>
    <sheet name="Cash Flow" sheetId="1" r:id="rId2"/>
    <sheet name="CAPEX" sheetId="2" r:id="rId3"/>
    <sheet name="OPEX-WC" sheetId="3" r:id="rId4"/>
    <sheet name="ФОТ строит" sheetId="4" r:id="rId5"/>
    <sheet name="Факт МЖК " sheetId="11" r:id="rId6"/>
    <sheet name="МЖК " sheetId="12" r:id="rId7"/>
    <sheet name="БЦ" sheetId="14" r:id="rId8"/>
  </sheets>
  <definedNames>
    <definedName name="_xlnm.Print_Area" localSheetId="2">CAPEX!$A$1:$D$53</definedName>
    <definedName name="_xlnm.Print_Area" localSheetId="1">'Cash Flow'!$B$1:$AC$46</definedName>
    <definedName name="_xlnm.Print_Area" localSheetId="3">'OPEX-WC'!$A$1:$D$43</definedName>
    <definedName name="_xlnm.Print_Area" localSheetId="4">'ФОТ строит'!$A$1:$H$42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4" l="1"/>
  <c r="F93" i="11"/>
  <c r="D66" i="2" l="1"/>
  <c r="D65" i="2"/>
  <c r="C29" i="1"/>
  <c r="C28" i="1"/>
  <c r="AB7" i="1"/>
  <c r="AC7" i="1"/>
  <c r="J2" i="5"/>
  <c r="O16" i="1" l="1"/>
  <c r="AC38" i="1" l="1"/>
  <c r="AB38" i="1"/>
  <c r="AC32" i="1"/>
  <c r="AB32" i="1"/>
  <c r="AC31" i="1"/>
  <c r="AB31" i="1"/>
  <c r="AC26" i="1"/>
  <c r="AB26" i="1"/>
  <c r="AC8" i="1"/>
  <c r="AB8" i="1"/>
  <c r="AA27" i="1"/>
  <c r="Z27" i="1"/>
  <c r="Y27" i="1"/>
  <c r="X27" i="1"/>
  <c r="W27" i="1"/>
  <c r="V27" i="1"/>
  <c r="U27" i="1"/>
  <c r="H27" i="1"/>
  <c r="D27" i="1"/>
  <c r="AA6" i="1"/>
  <c r="Z6" i="1"/>
  <c r="Y6" i="1"/>
  <c r="X6" i="1"/>
  <c r="W6" i="1"/>
  <c r="V6" i="1"/>
  <c r="T6" i="1"/>
  <c r="R6" i="1"/>
  <c r="N6" i="1"/>
  <c r="H6" i="1"/>
  <c r="F6" i="1"/>
  <c r="AA5" i="1"/>
  <c r="Z5" i="1"/>
  <c r="Y5" i="1"/>
  <c r="X5" i="1"/>
  <c r="W5" i="1"/>
  <c r="V5" i="1"/>
  <c r="U5" i="1"/>
  <c r="T5" i="1"/>
  <c r="I25" i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I24" i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I23" i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I21" i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D18" i="5"/>
  <c r="D27" i="4"/>
  <c r="E27" i="4" s="1"/>
  <c r="D26" i="4"/>
  <c r="E26" i="4" s="1"/>
  <c r="D12" i="4"/>
  <c r="E12" i="4" s="1"/>
  <c r="D13" i="4"/>
  <c r="E13" i="4" s="1"/>
  <c r="D15" i="4"/>
  <c r="E15" i="4" s="1"/>
  <c r="D23" i="4"/>
  <c r="D24" i="4"/>
  <c r="E24" i="4" s="1"/>
  <c r="D20" i="4"/>
  <c r="B5" i="14"/>
  <c r="B6" i="14"/>
  <c r="B7" i="14"/>
  <c r="B8" i="14"/>
  <c r="B10" i="14"/>
  <c r="B11" i="14"/>
  <c r="B12" i="14"/>
  <c r="B13" i="14"/>
  <c r="B15" i="14"/>
  <c r="B16" i="14"/>
  <c r="C21" i="14"/>
  <c r="C30" i="14" s="1"/>
  <c r="C35" i="14" s="1"/>
  <c r="C37" i="14" s="1"/>
  <c r="D21" i="14"/>
  <c r="E6" i="1" s="1"/>
  <c r="E21" i="14"/>
  <c r="E30" i="14" s="1"/>
  <c r="E35" i="14" s="1"/>
  <c r="F21" i="14"/>
  <c r="G6" i="1" s="1"/>
  <c r="G21" i="14"/>
  <c r="H21" i="14"/>
  <c r="I6" i="1" s="1"/>
  <c r="I21" i="14"/>
  <c r="I30" i="14" s="1"/>
  <c r="I35" i="14" s="1"/>
  <c r="J21" i="14"/>
  <c r="K6" i="1" s="1"/>
  <c r="K21" i="14"/>
  <c r="L6" i="1" s="1"/>
  <c r="L21" i="14"/>
  <c r="M6" i="1" s="1"/>
  <c r="M21" i="14"/>
  <c r="M30" i="14" s="1"/>
  <c r="M35" i="14" s="1"/>
  <c r="N21" i="14"/>
  <c r="O6" i="1" s="1"/>
  <c r="O21" i="14"/>
  <c r="O30" i="14" s="1"/>
  <c r="O35" i="14" s="1"/>
  <c r="P21" i="14"/>
  <c r="Q6" i="1" s="1"/>
  <c r="Q21" i="14"/>
  <c r="Q30" i="14" s="1"/>
  <c r="Q35" i="14" s="1"/>
  <c r="R21" i="14"/>
  <c r="S6" i="1" s="1"/>
  <c r="S21" i="14"/>
  <c r="T21" i="14"/>
  <c r="U6" i="1" s="1"/>
  <c r="B26" i="14"/>
  <c r="D48" i="14" s="1"/>
  <c r="F48" i="14" s="1"/>
  <c r="D30" i="14"/>
  <c r="D35" i="14" s="1"/>
  <c r="G30" i="14"/>
  <c r="G35" i="14" s="1"/>
  <c r="H30" i="14"/>
  <c r="H35" i="14" s="1"/>
  <c r="J30" i="14"/>
  <c r="L30" i="14"/>
  <c r="N30" i="14"/>
  <c r="P30" i="14"/>
  <c r="P35" i="14" s="1"/>
  <c r="S30" i="14"/>
  <c r="S35" i="14" s="1"/>
  <c r="B33" i="14"/>
  <c r="J35" i="14"/>
  <c r="L35" i="14"/>
  <c r="N35" i="14"/>
  <c r="T35" i="14"/>
  <c r="C41" i="14"/>
  <c r="C43" i="14"/>
  <c r="F50" i="14"/>
  <c r="B54" i="14"/>
  <c r="D54" i="14" s="1"/>
  <c r="B5" i="12"/>
  <c r="F6" i="12"/>
  <c r="B6" i="12" s="1"/>
  <c r="E7" i="12"/>
  <c r="B8" i="12"/>
  <c r="B9" i="12"/>
  <c r="B10" i="12"/>
  <c r="B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B13" i="12"/>
  <c r="B15" i="12"/>
  <c r="B16" i="12"/>
  <c r="B17" i="12"/>
  <c r="B18" i="12"/>
  <c r="G18" i="12" s="1"/>
  <c r="H18" i="12" s="1"/>
  <c r="B19" i="12"/>
  <c r="G19" i="12" s="1"/>
  <c r="H19" i="12" s="1"/>
  <c r="B20" i="12"/>
  <c r="F20" i="12" s="1"/>
  <c r="H20" i="12" s="1"/>
  <c r="B21" i="12"/>
  <c r="B23" i="12"/>
  <c r="B24" i="12"/>
  <c r="B25" i="12"/>
  <c r="B26" i="12"/>
  <c r="B27" i="12"/>
  <c r="B28" i="12"/>
  <c r="B29" i="12"/>
  <c r="B30" i="12"/>
  <c r="B31" i="12"/>
  <c r="K31" i="12" s="1"/>
  <c r="B32" i="12"/>
  <c r="B34" i="12"/>
  <c r="I34" i="12"/>
  <c r="J34" i="12"/>
  <c r="K34" i="12" s="1"/>
  <c r="L34" i="12" s="1"/>
  <c r="M34" i="12" s="1"/>
  <c r="N34" i="12" s="1"/>
  <c r="L35" i="12"/>
  <c r="B36" i="12"/>
  <c r="M37" i="12"/>
  <c r="N37" i="12"/>
  <c r="B38" i="12"/>
  <c r="B39" i="12"/>
  <c r="J39" i="12"/>
  <c r="K39" i="12" s="1"/>
  <c r="M39" i="12"/>
  <c r="N39" i="12" s="1"/>
  <c r="B40" i="12"/>
  <c r="J40" i="12"/>
  <c r="K40" i="12" s="1"/>
  <c r="L40" i="12" s="1"/>
  <c r="C47" i="12"/>
  <c r="D5" i="1" s="1"/>
  <c r="D47" i="12"/>
  <c r="E5" i="1" s="1"/>
  <c r="E51" i="12"/>
  <c r="H51" i="12"/>
  <c r="K51" i="12"/>
  <c r="N51" i="12"/>
  <c r="Q51" i="12"/>
  <c r="Q53" i="12" s="1"/>
  <c r="R27" i="1" s="1"/>
  <c r="R51" i="12"/>
  <c r="S51" i="12" s="1"/>
  <c r="E52" i="12"/>
  <c r="E53" i="12" s="1"/>
  <c r="F27" i="1" s="1"/>
  <c r="F52" i="12"/>
  <c r="G52" i="12"/>
  <c r="G53" i="12" s="1"/>
  <c r="H52" i="12"/>
  <c r="I52" i="12"/>
  <c r="J52" i="12"/>
  <c r="J53" i="12" s="1"/>
  <c r="K27" i="1" s="1"/>
  <c r="K52" i="12"/>
  <c r="L52" i="12"/>
  <c r="L53" i="12" s="1"/>
  <c r="M27" i="1" s="1"/>
  <c r="M52" i="12"/>
  <c r="M53" i="12" s="1"/>
  <c r="N27" i="1" s="1"/>
  <c r="N52" i="12"/>
  <c r="O52" i="12"/>
  <c r="O53" i="12" s="1"/>
  <c r="P27" i="1" s="1"/>
  <c r="P52" i="12"/>
  <c r="P53" i="12" s="1"/>
  <c r="Q27" i="1" s="1"/>
  <c r="Q52" i="12"/>
  <c r="R52" i="12"/>
  <c r="S52" i="12"/>
  <c r="D53" i="12"/>
  <c r="E27" i="1" s="1"/>
  <c r="I53" i="12"/>
  <c r="J27" i="1" s="1"/>
  <c r="C56" i="12"/>
  <c r="C63" i="12" s="1"/>
  <c r="C65" i="12" s="1"/>
  <c r="D56" i="12"/>
  <c r="D63" i="12" s="1"/>
  <c r="B59" i="12"/>
  <c r="B61" i="12"/>
  <c r="T63" i="12"/>
  <c r="U63" i="12"/>
  <c r="U69" i="12" s="1"/>
  <c r="V63" i="12"/>
  <c r="V69" i="12" s="1"/>
  <c r="W63" i="12"/>
  <c r="W69" i="12" s="1"/>
  <c r="C10" i="11"/>
  <c r="C11" i="11"/>
  <c r="D4" i="11" s="1"/>
  <c r="D29" i="11" s="1"/>
  <c r="D16" i="11"/>
  <c r="C23" i="11"/>
  <c r="C35" i="11"/>
  <c r="C36" i="11"/>
  <c r="C48" i="11"/>
  <c r="C49" i="11"/>
  <c r="D41" i="11" s="1"/>
  <c r="C59" i="11"/>
  <c r="D61" i="11"/>
  <c r="F72" i="11"/>
  <c r="B78" i="11"/>
  <c r="D78" i="11" s="1"/>
  <c r="D82" i="11"/>
  <c r="F82" i="11" s="1"/>
  <c r="D84" i="11"/>
  <c r="F84" i="11"/>
  <c r="E84" i="11" s="1"/>
  <c r="D37" i="14" l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R30" i="14"/>
  <c r="R35" i="14" s="1"/>
  <c r="F30" i="14"/>
  <c r="F35" i="14" s="1"/>
  <c r="P6" i="1"/>
  <c r="AC6" i="1" s="1"/>
  <c r="D6" i="1"/>
  <c r="D4" i="1" s="1"/>
  <c r="D28" i="1" s="1"/>
  <c r="B80" i="11"/>
  <c r="D80" i="11" s="1"/>
  <c r="F80" i="11" s="1"/>
  <c r="E80" i="11" s="1"/>
  <c r="J6" i="1"/>
  <c r="D69" i="12"/>
  <c r="T69" i="12"/>
  <c r="K30" i="14"/>
  <c r="K35" i="14" s="1"/>
  <c r="E82" i="11"/>
  <c r="A21" i="14"/>
  <c r="D45" i="14" s="1"/>
  <c r="E4" i="1"/>
  <c r="E28" i="1" s="1"/>
  <c r="E30" i="1" s="1"/>
  <c r="U4" i="1"/>
  <c r="U28" i="1" s="1"/>
  <c r="W4" i="1"/>
  <c r="W28" i="1" s="1"/>
  <c r="Y4" i="1"/>
  <c r="Y28" i="1" s="1"/>
  <c r="AA4" i="1"/>
  <c r="AA28" i="1" s="1"/>
  <c r="I13" i="1"/>
  <c r="T4" i="1"/>
  <c r="T28" i="1" s="1"/>
  <c r="V4" i="1"/>
  <c r="V28" i="1" s="1"/>
  <c r="X4" i="1"/>
  <c r="X28" i="1" s="1"/>
  <c r="Z4" i="1"/>
  <c r="Z28" i="1" s="1"/>
  <c r="P13" i="1"/>
  <c r="T13" i="1"/>
  <c r="Z13" i="1"/>
  <c r="S13" i="1"/>
  <c r="W13" i="1"/>
  <c r="AA13" i="1"/>
  <c r="K53" i="12"/>
  <c r="L27" i="1" s="1"/>
  <c r="E47" i="12"/>
  <c r="D65" i="12"/>
  <c r="B52" i="12"/>
  <c r="D70" i="11" s="1"/>
  <c r="F70" i="11" s="1"/>
  <c r="S53" i="12"/>
  <c r="N53" i="12"/>
  <c r="O27" i="1" s="1"/>
  <c r="O39" i="12"/>
  <c r="B12" i="12"/>
  <c r="C69" i="12"/>
  <c r="C71" i="12" s="1"/>
  <c r="D71" i="12" s="1"/>
  <c r="F27" i="4"/>
  <c r="G27" i="4" s="1"/>
  <c r="F26" i="4"/>
  <c r="F12" i="4"/>
  <c r="F13" i="4"/>
  <c r="G13" i="4" s="1"/>
  <c r="H13" i="4" s="1"/>
  <c r="F15" i="4"/>
  <c r="G15" i="4" s="1"/>
  <c r="H15" i="4" s="1"/>
  <c r="F24" i="4"/>
  <c r="G24" i="4" s="1"/>
  <c r="H24" i="4" s="1"/>
  <c r="F54" i="14"/>
  <c r="B51" i="12"/>
  <c r="R53" i="12"/>
  <c r="S27" i="1" s="1"/>
  <c r="H53" i="12"/>
  <c r="I27" i="1" s="1"/>
  <c r="F53" i="12"/>
  <c r="G27" i="1" s="1"/>
  <c r="N40" i="12"/>
  <c r="O37" i="12"/>
  <c r="B37" i="12" s="1"/>
  <c r="M35" i="12"/>
  <c r="N35" i="12" s="1"/>
  <c r="F7" i="12"/>
  <c r="F78" i="11"/>
  <c r="E78" i="11" s="1"/>
  <c r="H37" i="1"/>
  <c r="G37" i="1"/>
  <c r="F37" i="1"/>
  <c r="E37" i="1"/>
  <c r="D37" i="1"/>
  <c r="D86" i="11" l="1"/>
  <c r="D76" i="11" s="1"/>
  <c r="AB27" i="1"/>
  <c r="AB6" i="1"/>
  <c r="C6" i="1" s="1"/>
  <c r="B30" i="14"/>
  <c r="S56" i="12"/>
  <c r="S63" i="12" s="1"/>
  <c r="S69" i="12" s="1"/>
  <c r="T27" i="1"/>
  <c r="AC27" i="1" s="1"/>
  <c r="E65" i="12"/>
  <c r="E56" i="12"/>
  <c r="E63" i="12" s="1"/>
  <c r="E69" i="12" s="1"/>
  <c r="E71" i="12" s="1"/>
  <c r="F5" i="1"/>
  <c r="D30" i="1"/>
  <c r="X13" i="1"/>
  <c r="Y13" i="1"/>
  <c r="U13" i="1"/>
  <c r="Q13" i="1"/>
  <c r="V13" i="1"/>
  <c r="R13" i="1"/>
  <c r="AC19" i="1"/>
  <c r="B35" i="12"/>
  <c r="H27" i="4"/>
  <c r="G26" i="4"/>
  <c r="H26" i="4" s="1"/>
  <c r="G12" i="4"/>
  <c r="H12" i="4" s="1"/>
  <c r="F45" i="14"/>
  <c r="F52" i="14" s="1"/>
  <c r="D52" i="14"/>
  <c r="E45" i="14"/>
  <c r="E52" i="14" s="1"/>
  <c r="E54" i="14"/>
  <c r="F58" i="14" s="1"/>
  <c r="G7" i="12"/>
  <c r="F47" i="12"/>
  <c r="G5" i="1" s="1"/>
  <c r="G4" i="1" s="1"/>
  <c r="G28" i="1" s="1"/>
  <c r="G30" i="1" s="1"/>
  <c r="B53" i="12"/>
  <c r="D68" i="11"/>
  <c r="F68" i="11" s="1"/>
  <c r="E86" i="11"/>
  <c r="F86" i="11"/>
  <c r="C27" i="1" l="1"/>
  <c r="F4" i="1"/>
  <c r="AC13" i="1"/>
  <c r="F56" i="12"/>
  <c r="F63" i="12" s="1"/>
  <c r="G47" i="12"/>
  <c r="H7" i="12"/>
  <c r="G56" i="12" l="1"/>
  <c r="G63" i="12" s="1"/>
  <c r="G69" i="12" s="1"/>
  <c r="H5" i="1"/>
  <c r="F28" i="1"/>
  <c r="F65" i="12"/>
  <c r="G65" i="12" s="1"/>
  <c r="F69" i="12"/>
  <c r="F71" i="12" s="1"/>
  <c r="G71" i="12" s="1"/>
  <c r="I7" i="12"/>
  <c r="H47" i="12"/>
  <c r="I5" i="1" s="1"/>
  <c r="I4" i="1" s="1"/>
  <c r="I28" i="1" s="1"/>
  <c r="AG40" i="3"/>
  <c r="AF40" i="3"/>
  <c r="AG39" i="3"/>
  <c r="AF39" i="3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5" i="2"/>
  <c r="AE6" i="2"/>
  <c r="AD60" i="2"/>
  <c r="AC60" i="2"/>
  <c r="AB60" i="2"/>
  <c r="AA60" i="2"/>
  <c r="Z60" i="2"/>
  <c r="Y60" i="2"/>
  <c r="X60" i="2"/>
  <c r="V60" i="2"/>
  <c r="T60" i="2"/>
  <c r="Q60" i="2"/>
  <c r="P60" i="2"/>
  <c r="O60" i="2"/>
  <c r="N60" i="2"/>
  <c r="M60" i="2"/>
  <c r="L60" i="2"/>
  <c r="K60" i="2"/>
  <c r="I60" i="2"/>
  <c r="G60" i="2"/>
  <c r="E41" i="3"/>
  <c r="AE38" i="3"/>
  <c r="R38" i="3"/>
  <c r="AE37" i="3"/>
  <c r="R37" i="3"/>
  <c r="AE33" i="3"/>
  <c r="R33" i="3"/>
  <c r="AE31" i="3"/>
  <c r="R31" i="3"/>
  <c r="AE30" i="3"/>
  <c r="R30" i="3"/>
  <c r="AE29" i="3"/>
  <c r="R29" i="3"/>
  <c r="AE27" i="3"/>
  <c r="R27" i="3"/>
  <c r="AE26" i="3"/>
  <c r="R26" i="3"/>
  <c r="AE25" i="3"/>
  <c r="R25" i="3"/>
  <c r="AE24" i="3"/>
  <c r="R24" i="3"/>
  <c r="AE23" i="3"/>
  <c r="R23" i="3"/>
  <c r="AE22" i="3"/>
  <c r="R22" i="3"/>
  <c r="AE20" i="3"/>
  <c r="R20" i="3"/>
  <c r="AE19" i="3"/>
  <c r="R19" i="3"/>
  <c r="AE17" i="3"/>
  <c r="R17" i="3"/>
  <c r="AE16" i="3"/>
  <c r="R16" i="3"/>
  <c r="AE14" i="3"/>
  <c r="R14" i="3"/>
  <c r="AE13" i="3"/>
  <c r="R13" i="3"/>
  <c r="AE11" i="3"/>
  <c r="R11" i="3"/>
  <c r="AE10" i="3"/>
  <c r="R10" i="3"/>
  <c r="AE6" i="3"/>
  <c r="R6" i="3"/>
  <c r="R59" i="2"/>
  <c r="R58" i="2"/>
  <c r="AF58" i="2" s="1"/>
  <c r="R57" i="2"/>
  <c r="R56" i="2"/>
  <c r="R55" i="2"/>
  <c r="R54" i="2"/>
  <c r="AF54" i="2" s="1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5" i="2"/>
  <c r="AF48" i="2" l="1"/>
  <c r="F30" i="1"/>
  <c r="H4" i="1"/>
  <c r="H56" i="12"/>
  <c r="H63" i="12" s="1"/>
  <c r="I47" i="12"/>
  <c r="J5" i="1" s="1"/>
  <c r="J4" i="1" s="1"/>
  <c r="J28" i="1" s="1"/>
  <c r="J7" i="12"/>
  <c r="AF51" i="2"/>
  <c r="AF59" i="2"/>
  <c r="D21" i="4"/>
  <c r="E21" i="4" s="1"/>
  <c r="E20" i="4"/>
  <c r="H28" i="1" l="1"/>
  <c r="H65" i="12"/>
  <c r="H69" i="12"/>
  <c r="H71" i="12" s="1"/>
  <c r="I56" i="12"/>
  <c r="I63" i="12" s="1"/>
  <c r="I69" i="12" s="1"/>
  <c r="K7" i="12"/>
  <c r="J47" i="12"/>
  <c r="F21" i="4"/>
  <c r="F20" i="4"/>
  <c r="G20" i="4" s="1"/>
  <c r="J7" i="5"/>
  <c r="J4" i="5"/>
  <c r="J3" i="5"/>
  <c r="C37" i="3"/>
  <c r="D37" i="3" s="1"/>
  <c r="C57" i="2"/>
  <c r="C14" i="3"/>
  <c r="C17" i="3"/>
  <c r="D17" i="3" s="1"/>
  <c r="D29" i="4"/>
  <c r="E29" i="4" s="1"/>
  <c r="C30" i="3"/>
  <c r="D30" i="3" s="1"/>
  <c r="C31" i="3"/>
  <c r="C29" i="3"/>
  <c r="C33" i="3"/>
  <c r="C27" i="3"/>
  <c r="D27" i="3" s="1"/>
  <c r="C24" i="3"/>
  <c r="D24" i="3" s="1"/>
  <c r="C25" i="3"/>
  <c r="C26" i="3"/>
  <c r="D26" i="3" s="1"/>
  <c r="D25" i="3"/>
  <c r="C33" i="4"/>
  <c r="C10" i="3"/>
  <c r="D32" i="4"/>
  <c r="D31" i="4"/>
  <c r="D30" i="4"/>
  <c r="E30" i="4" s="1"/>
  <c r="D25" i="4"/>
  <c r="D19" i="4"/>
  <c r="E19" i="4" s="1"/>
  <c r="D18" i="4"/>
  <c r="E18" i="4" s="1"/>
  <c r="D17" i="4"/>
  <c r="E17" i="4" s="1"/>
  <c r="D16" i="4"/>
  <c r="E16" i="4" s="1"/>
  <c r="D14" i="4"/>
  <c r="E14" i="4" s="1"/>
  <c r="D11" i="4"/>
  <c r="E11" i="4" s="1"/>
  <c r="D10" i="4"/>
  <c r="D9" i="4"/>
  <c r="D8" i="4"/>
  <c r="D7" i="4"/>
  <c r="D6" i="4"/>
  <c r="D5" i="4"/>
  <c r="E6" i="4"/>
  <c r="H5" i="5"/>
  <c r="G5" i="5"/>
  <c r="F5" i="5"/>
  <c r="E5" i="5"/>
  <c r="D5" i="5"/>
  <c r="C5" i="5"/>
  <c r="C56" i="2"/>
  <c r="D56" i="2" s="1"/>
  <c r="AF56" i="2" s="1"/>
  <c r="C42" i="2"/>
  <c r="C41" i="2"/>
  <c r="C47" i="2"/>
  <c r="C43" i="2"/>
  <c r="C45" i="2"/>
  <c r="C44" i="2" s="1"/>
  <c r="C38" i="2"/>
  <c r="C37" i="2"/>
  <c r="C35" i="2"/>
  <c r="C34" i="2"/>
  <c r="C33" i="2"/>
  <c r="C32" i="2"/>
  <c r="C31" i="2"/>
  <c r="C30" i="2"/>
  <c r="C29" i="2"/>
  <c r="C27" i="2"/>
  <c r="D27" i="2" s="1"/>
  <c r="AF27" i="2" s="1"/>
  <c r="C26" i="2"/>
  <c r="C25" i="2"/>
  <c r="C24" i="2"/>
  <c r="C23" i="2"/>
  <c r="C21" i="2"/>
  <c r="C19" i="2"/>
  <c r="C17" i="2"/>
  <c r="C16" i="2"/>
  <c r="C15" i="2"/>
  <c r="D15" i="2" s="1"/>
  <c r="AF15" i="2" s="1"/>
  <c r="C13" i="2"/>
  <c r="D13" i="2" s="1"/>
  <c r="AF13" i="2" s="1"/>
  <c r="C12" i="2"/>
  <c r="D12" i="2" s="1"/>
  <c r="AF12" i="2" s="1"/>
  <c r="C11" i="2"/>
  <c r="D11" i="2" s="1"/>
  <c r="AF11" i="2" s="1"/>
  <c r="C10" i="2"/>
  <c r="C7" i="2"/>
  <c r="C6" i="2"/>
  <c r="J56" i="12" l="1"/>
  <c r="J63" i="12" s="1"/>
  <c r="J69" i="12" s="1"/>
  <c r="K5" i="1"/>
  <c r="H30" i="1"/>
  <c r="I71" i="12"/>
  <c r="J71" i="12" s="1"/>
  <c r="I65" i="12"/>
  <c r="J9" i="5"/>
  <c r="K47" i="12"/>
  <c r="L5" i="1" s="1"/>
  <c r="L4" i="1" s="1"/>
  <c r="L28" i="1" s="1"/>
  <c r="L7" i="12"/>
  <c r="J65" i="12"/>
  <c r="AF25" i="3"/>
  <c r="AG25" i="3"/>
  <c r="AF27" i="3"/>
  <c r="AG27" i="3"/>
  <c r="AF30" i="3"/>
  <c r="AG30" i="3"/>
  <c r="AF17" i="3"/>
  <c r="AG17" i="3"/>
  <c r="AF26" i="3"/>
  <c r="AG26" i="3"/>
  <c r="AF24" i="3"/>
  <c r="AG24" i="3"/>
  <c r="AF37" i="3"/>
  <c r="AG37" i="3"/>
  <c r="C55" i="2"/>
  <c r="D55" i="2" s="1"/>
  <c r="D57" i="2"/>
  <c r="AF57" i="2" s="1"/>
  <c r="H20" i="4"/>
  <c r="G21" i="4"/>
  <c r="H21" i="4" s="1"/>
  <c r="F29" i="4"/>
  <c r="G29" i="4" s="1"/>
  <c r="F30" i="4"/>
  <c r="F19" i="4"/>
  <c r="F18" i="4"/>
  <c r="F17" i="4"/>
  <c r="G17" i="4" s="1"/>
  <c r="H17" i="4" s="1"/>
  <c r="F16" i="4"/>
  <c r="F14" i="4"/>
  <c r="F11" i="4"/>
  <c r="F6" i="4"/>
  <c r="G6" i="4" s="1"/>
  <c r="K4" i="1" l="1"/>
  <c r="K56" i="12"/>
  <c r="K63" i="12" s="1"/>
  <c r="K69" i="12" s="1"/>
  <c r="K71" i="12" s="1"/>
  <c r="M7" i="12"/>
  <c r="L47" i="12"/>
  <c r="H29" i="4"/>
  <c r="G30" i="4"/>
  <c r="H30" i="4" s="1"/>
  <c r="G19" i="4"/>
  <c r="H19" i="4" s="1"/>
  <c r="G18" i="4"/>
  <c r="H18" i="4" s="1"/>
  <c r="G16" i="4"/>
  <c r="H16" i="4" s="1"/>
  <c r="G14" i="4"/>
  <c r="H14" i="4" s="1"/>
  <c r="G11" i="4"/>
  <c r="H11" i="4" s="1"/>
  <c r="H6" i="4"/>
  <c r="K65" i="12" l="1"/>
  <c r="L56" i="12"/>
  <c r="L63" i="12" s="1"/>
  <c r="L69" i="12" s="1"/>
  <c r="M5" i="1"/>
  <c r="K28" i="1"/>
  <c r="L71" i="12"/>
  <c r="L65" i="12"/>
  <c r="M47" i="12"/>
  <c r="N7" i="12"/>
  <c r="M4" i="1" l="1"/>
  <c r="M56" i="12"/>
  <c r="M63" i="12" s="1"/>
  <c r="M69" i="12" s="1"/>
  <c r="M71" i="12" s="1"/>
  <c r="N5" i="1"/>
  <c r="N4" i="1" s="1"/>
  <c r="N28" i="1" s="1"/>
  <c r="M65" i="12"/>
  <c r="O7" i="12"/>
  <c r="N47" i="12"/>
  <c r="O5" i="1" s="1"/>
  <c r="O4" i="1" s="1"/>
  <c r="O28" i="1" s="1"/>
  <c r="AB5" i="1" l="1"/>
  <c r="M28" i="1"/>
  <c r="AB28" i="1" s="1"/>
  <c r="AB4" i="1"/>
  <c r="O47" i="12"/>
  <c r="P7" i="12"/>
  <c r="N56" i="12"/>
  <c r="N63" i="12" s="1"/>
  <c r="C16" i="3"/>
  <c r="O56" i="12" l="1"/>
  <c r="O63" i="12" s="1"/>
  <c r="O69" i="12" s="1"/>
  <c r="P5" i="1"/>
  <c r="N65" i="12"/>
  <c r="O65" i="12" s="1"/>
  <c r="N69" i="12"/>
  <c r="N71" i="12" s="1"/>
  <c r="O71" i="12" s="1"/>
  <c r="Q7" i="12"/>
  <c r="P47" i="12"/>
  <c r="P4" i="1" l="1"/>
  <c r="P56" i="12"/>
  <c r="P63" i="12" s="1"/>
  <c r="P69" i="12" s="1"/>
  <c r="P71" i="12" s="1"/>
  <c r="Q5" i="1"/>
  <c r="Q4" i="1" s="1"/>
  <c r="Q28" i="1" s="1"/>
  <c r="Q47" i="12"/>
  <c r="R7" i="12"/>
  <c r="Q56" i="12" l="1"/>
  <c r="Q63" i="12" s="1"/>
  <c r="Q69" i="12" s="1"/>
  <c r="Q71" i="12" s="1"/>
  <c r="R5" i="1"/>
  <c r="R4" i="1" s="1"/>
  <c r="R28" i="1" s="1"/>
  <c r="P65" i="12"/>
  <c r="P28" i="1"/>
  <c r="Q65" i="12"/>
  <c r="R47" i="12"/>
  <c r="S5" i="1" s="1"/>
  <c r="S4" i="1" s="1"/>
  <c r="S28" i="1" s="1"/>
  <c r="B7" i="12"/>
  <c r="AC28" i="1" l="1"/>
  <c r="AC4" i="1"/>
  <c r="C4" i="1" s="1"/>
  <c r="AC5" i="1"/>
  <c r="C5" i="1" s="1"/>
  <c r="R56" i="12"/>
  <c r="R63" i="12" s="1"/>
  <c r="B47" i="12"/>
  <c r="B56" i="12" s="1"/>
  <c r="A47" i="12"/>
  <c r="D64" i="11" s="1"/>
  <c r="E25" i="4"/>
  <c r="F25" i="4" s="1"/>
  <c r="D33" i="4"/>
  <c r="D17" i="5"/>
  <c r="D15" i="5"/>
  <c r="D14" i="5"/>
  <c r="D11" i="5"/>
  <c r="C8" i="5"/>
  <c r="R65" i="12" l="1"/>
  <c r="S65" i="12" s="1"/>
  <c r="T65" i="12" s="1"/>
  <c r="U65" i="12" s="1"/>
  <c r="V65" i="12" s="1"/>
  <c r="W65" i="12" s="1"/>
  <c r="R69" i="12"/>
  <c r="R71" i="12" s="1"/>
  <c r="S71" i="12" s="1"/>
  <c r="T71" i="12" s="1"/>
  <c r="U71" i="12" s="1"/>
  <c r="V71" i="12" s="1"/>
  <c r="W71" i="12" s="1"/>
  <c r="F64" i="11"/>
  <c r="F74" i="11" s="1"/>
  <c r="D74" i="11"/>
  <c r="G25" i="4"/>
  <c r="H25" i="4" s="1"/>
  <c r="E9" i="4"/>
  <c r="D53" i="2"/>
  <c r="F88" i="11" l="1"/>
  <c r="F91" i="11" s="1"/>
  <c r="E64" i="11"/>
  <c r="E74" i="11" s="1"/>
  <c r="F90" i="11" s="1"/>
  <c r="F9" i="4"/>
  <c r="C35" i="1" l="1"/>
  <c r="G9" i="4"/>
  <c r="H9" i="4" s="1"/>
  <c r="C11" i="3"/>
  <c r="D42" i="2" l="1"/>
  <c r="AF42" i="2" s="1"/>
  <c r="D41" i="2"/>
  <c r="AF41" i="2" s="1"/>
  <c r="D26" i="2"/>
  <c r="AF26" i="2" s="1"/>
  <c r="C9" i="2"/>
  <c r="D9" i="2" s="1"/>
  <c r="AF9" i="2" s="1"/>
  <c r="C8" i="2"/>
  <c r="D47" i="2"/>
  <c r="AF47" i="2" s="1"/>
  <c r="D45" i="2"/>
  <c r="AF45" i="2" s="1"/>
  <c r="D39" i="2"/>
  <c r="AF39" i="2" s="1"/>
  <c r="D37" i="2"/>
  <c r="AF37" i="2" s="1"/>
  <c r="D35" i="2"/>
  <c r="AF35" i="2" s="1"/>
  <c r="D34" i="2"/>
  <c r="AF34" i="2" s="1"/>
  <c r="D33" i="2"/>
  <c r="AF33" i="2" s="1"/>
  <c r="D32" i="2"/>
  <c r="AF32" i="2" s="1"/>
  <c r="D31" i="2"/>
  <c r="AF31" i="2" s="1"/>
  <c r="D30" i="2"/>
  <c r="AF30" i="2" s="1"/>
  <c r="D29" i="2"/>
  <c r="AF29" i="2" s="1"/>
  <c r="D25" i="2"/>
  <c r="AF25" i="2" s="1"/>
  <c r="D24" i="2"/>
  <c r="AF24" i="2" s="1"/>
  <c r="D21" i="2"/>
  <c r="AF21" i="2" s="1"/>
  <c r="D19" i="2"/>
  <c r="AF19" i="2" s="1"/>
  <c r="D17" i="2"/>
  <c r="AF17" i="2" s="1"/>
  <c r="D10" i="2"/>
  <c r="AF10" i="2" s="1"/>
  <c r="D7" i="2"/>
  <c r="D6" i="2"/>
  <c r="D44" i="2"/>
  <c r="D38" i="2"/>
  <c r="AF38" i="2" s="1"/>
  <c r="C28" i="2"/>
  <c r="D28" i="2" s="1"/>
  <c r="D23" i="2"/>
  <c r="AF23" i="2" s="1"/>
  <c r="C20" i="2"/>
  <c r="D20" i="2" s="1"/>
  <c r="AF20" i="2" s="1"/>
  <c r="D16" i="2"/>
  <c r="AF16" i="2" s="1"/>
  <c r="D1" i="2"/>
  <c r="H6" i="2" l="1"/>
  <c r="E6" i="2"/>
  <c r="J6" i="2"/>
  <c r="F7" i="2"/>
  <c r="E7" i="2"/>
  <c r="C14" i="2"/>
  <c r="D14" i="2" s="1"/>
  <c r="D8" i="2"/>
  <c r="AF8" i="2" s="1"/>
  <c r="C5" i="2"/>
  <c r="C18" i="2"/>
  <c r="D18" i="2" s="1"/>
  <c r="C40" i="2"/>
  <c r="D40" i="2" s="1"/>
  <c r="D43" i="2"/>
  <c r="AF43" i="2" s="1"/>
  <c r="C22" i="2"/>
  <c r="C36" i="2"/>
  <c r="D36" i="2" s="1"/>
  <c r="C46" i="2"/>
  <c r="D46" i="2" s="1"/>
  <c r="F60" i="2" l="1"/>
  <c r="R7" i="2"/>
  <c r="W60" i="2"/>
  <c r="J60" i="2"/>
  <c r="H60" i="2"/>
  <c r="R6" i="2"/>
  <c r="R60" i="2" s="1"/>
  <c r="S60" i="2"/>
  <c r="AF7" i="2"/>
  <c r="E60" i="2"/>
  <c r="U60" i="2"/>
  <c r="C49" i="2"/>
  <c r="D5" i="2"/>
  <c r="D22" i="2"/>
  <c r="C38" i="3"/>
  <c r="D38" i="3" s="1"/>
  <c r="D33" i="3"/>
  <c r="E8" i="4"/>
  <c r="AF38" i="3" l="1"/>
  <c r="AG38" i="3"/>
  <c r="AF33" i="3"/>
  <c r="AG33" i="3"/>
  <c r="AF6" i="2"/>
  <c r="AE60" i="2"/>
  <c r="C32" i="3"/>
  <c r="C50" i="2"/>
  <c r="D49" i="2"/>
  <c r="AF49" i="2" s="1"/>
  <c r="C52" i="2"/>
  <c r="C60" i="2" s="1"/>
  <c r="C61" i="2" s="1"/>
  <c r="D32" i="3"/>
  <c r="F8" i="4"/>
  <c r="D6" i="3"/>
  <c r="E32" i="4"/>
  <c r="E31" i="4"/>
  <c r="E23" i="4"/>
  <c r="F23" i="4" s="1"/>
  <c r="G23" i="4" s="1"/>
  <c r="E10" i="4"/>
  <c r="F10" i="4" s="1"/>
  <c r="G10" i="4" s="1"/>
  <c r="E7" i="4"/>
  <c r="F7" i="4" s="1"/>
  <c r="G7" i="4" s="1"/>
  <c r="E5" i="4"/>
  <c r="F5" i="4" s="1"/>
  <c r="G5" i="4" s="1"/>
  <c r="D31" i="3"/>
  <c r="D29" i="3"/>
  <c r="D14" i="3"/>
  <c r="D13" i="3"/>
  <c r="D10" i="3"/>
  <c r="AF29" i="3" l="1"/>
  <c r="AG29" i="3"/>
  <c r="AF10" i="3"/>
  <c r="AG10" i="3"/>
  <c r="AF14" i="3"/>
  <c r="AG14" i="3"/>
  <c r="AF31" i="3"/>
  <c r="AG31" i="3"/>
  <c r="AF13" i="3"/>
  <c r="AG13" i="3"/>
  <c r="AF6" i="3"/>
  <c r="AG6" i="3"/>
  <c r="D50" i="2"/>
  <c r="D52" i="2"/>
  <c r="AF52" i="2" s="1"/>
  <c r="G8" i="4"/>
  <c r="H8" i="4" s="1"/>
  <c r="E33" i="4"/>
  <c r="F31" i="4"/>
  <c r="F32" i="4"/>
  <c r="G32" i="4" s="1"/>
  <c r="H32" i="4" s="1"/>
  <c r="H7" i="4"/>
  <c r="H10" i="4"/>
  <c r="H23" i="4"/>
  <c r="D60" i="2" l="1"/>
  <c r="AF60" i="2" s="1"/>
  <c r="C66" i="2"/>
  <c r="F33" i="4"/>
  <c r="G31" i="4"/>
  <c r="H31" i="4" s="1"/>
  <c r="D61" i="2" l="1"/>
  <c r="G33" i="4"/>
  <c r="A1" i="4"/>
  <c r="C23" i="3"/>
  <c r="C22" i="3"/>
  <c r="D19" i="3"/>
  <c r="C12" i="3"/>
  <c r="D20" i="3"/>
  <c r="D11" i="3"/>
  <c r="C1" i="3"/>
  <c r="AF11" i="3" l="1"/>
  <c r="AG11" i="3"/>
  <c r="AF20" i="3"/>
  <c r="AG20" i="3"/>
  <c r="AF19" i="3"/>
  <c r="AG19" i="3"/>
  <c r="D16" i="3"/>
  <c r="D23" i="3"/>
  <c r="D22" i="3"/>
  <c r="D9" i="3"/>
  <c r="C21" i="3"/>
  <c r="C15" i="3"/>
  <c r="C18" i="3"/>
  <c r="D28" i="3"/>
  <c r="C9" i="3"/>
  <c r="C28" i="3"/>
  <c r="D18" i="3"/>
  <c r="D12" i="3"/>
  <c r="AF23" i="3" l="1"/>
  <c r="AG23" i="3"/>
  <c r="AF22" i="3"/>
  <c r="AG22" i="3"/>
  <c r="AF16" i="3"/>
  <c r="AG16" i="3"/>
  <c r="D15" i="3"/>
  <c r="D21" i="3"/>
  <c r="N29" i="1" l="1"/>
  <c r="H5" i="4"/>
  <c r="H33" i="4" s="1"/>
  <c r="C5" i="3" l="1"/>
  <c r="C4" i="3" s="1"/>
  <c r="C41" i="3" s="1"/>
  <c r="F5" i="3"/>
  <c r="Q5" i="3"/>
  <c r="G29" i="1"/>
  <c r="G34" i="1" s="1"/>
  <c r="K29" i="1"/>
  <c r="Z29" i="1"/>
  <c r="T29" i="1"/>
  <c r="X29" i="1"/>
  <c r="Q29" i="1"/>
  <c r="U29" i="1"/>
  <c r="Y29" i="1"/>
  <c r="D29" i="1"/>
  <c r="D34" i="1" s="1"/>
  <c r="H29" i="1"/>
  <c r="H34" i="1" s="1"/>
  <c r="L29" i="1"/>
  <c r="E29" i="1"/>
  <c r="E34" i="1" s="1"/>
  <c r="I29" i="1"/>
  <c r="M29" i="1"/>
  <c r="R29" i="1"/>
  <c r="V29" i="1"/>
  <c r="P29" i="1"/>
  <c r="S29" i="1"/>
  <c r="W29" i="1"/>
  <c r="F29" i="1"/>
  <c r="F34" i="1" s="1"/>
  <c r="J29" i="1"/>
  <c r="D5" i="3" l="1"/>
  <c r="D4" i="3" s="1"/>
  <c r="F41" i="3"/>
  <c r="D33" i="1" s="1"/>
  <c r="D36" i="1" s="1"/>
  <c r="D39" i="1" s="1"/>
  <c r="G5" i="3"/>
  <c r="Q41" i="3"/>
  <c r="S5" i="3"/>
  <c r="O29" i="1"/>
  <c r="AB29" i="1" s="1"/>
  <c r="AA29" i="1"/>
  <c r="AC29" i="1" s="1"/>
  <c r="D41" i="1" l="1"/>
  <c r="T5" i="3"/>
  <c r="S41" i="3"/>
  <c r="H5" i="3"/>
  <c r="G41" i="3"/>
  <c r="E33" i="1" s="1"/>
  <c r="D41" i="3"/>
  <c r="E36" i="1" l="1"/>
  <c r="E39" i="1" s="1"/>
  <c r="U5" i="3"/>
  <c r="T41" i="3"/>
  <c r="I5" i="3"/>
  <c r="H41" i="3"/>
  <c r="F33" i="1" s="1"/>
  <c r="F36" i="1" s="1"/>
  <c r="F39" i="1" s="1"/>
  <c r="E41" i="1" l="1"/>
  <c r="F41" i="1" s="1"/>
  <c r="I41" i="3"/>
  <c r="G33" i="1" s="1"/>
  <c r="J5" i="3"/>
  <c r="U41" i="3"/>
  <c r="V5" i="3"/>
  <c r="G36" i="1" l="1"/>
  <c r="G39" i="1" s="1"/>
  <c r="W5" i="3"/>
  <c r="V41" i="3"/>
  <c r="K5" i="3"/>
  <c r="J41" i="3"/>
  <c r="H33" i="1" s="1"/>
  <c r="H36" i="1" s="1"/>
  <c r="H39" i="1" s="1"/>
  <c r="G41" i="1" l="1"/>
  <c r="H41" i="1" s="1"/>
  <c r="L5" i="3"/>
  <c r="K41" i="3"/>
  <c r="W41" i="3"/>
  <c r="X5" i="3"/>
  <c r="X41" i="3" l="1"/>
  <c r="Y5" i="3"/>
  <c r="M5" i="3"/>
  <c r="L41" i="3"/>
  <c r="N5" i="3" l="1"/>
  <c r="M41" i="3"/>
  <c r="Y41" i="3"/>
  <c r="Z5" i="3"/>
  <c r="O5" i="3" l="1"/>
  <c r="N41" i="3"/>
  <c r="Z41" i="3"/>
  <c r="AA5" i="3"/>
  <c r="AA41" i="3" l="1"/>
  <c r="AB5" i="3"/>
  <c r="P5" i="3"/>
  <c r="O41" i="3"/>
  <c r="P41" i="3" l="1"/>
  <c r="R5" i="3"/>
  <c r="AC5" i="3"/>
  <c r="AB41" i="3"/>
  <c r="C21" i="5"/>
  <c r="R41" i="3" l="1"/>
  <c r="AF5" i="3"/>
  <c r="AD5" i="3"/>
  <c r="AC41" i="3"/>
  <c r="AD41" i="3" l="1"/>
  <c r="AE5" i="3"/>
  <c r="AF41" i="3"/>
  <c r="AE41" i="3" l="1"/>
  <c r="AG5" i="3"/>
  <c r="AG41" i="3" l="1"/>
  <c r="I10" i="1"/>
  <c r="I11" i="1"/>
  <c r="I12" i="1"/>
  <c r="I14" i="1"/>
  <c r="I9" i="1"/>
  <c r="I37" i="1" l="1"/>
  <c r="I30" i="1"/>
  <c r="I15" i="1"/>
  <c r="I34" i="1" s="1"/>
  <c r="I36" i="1" l="1"/>
  <c r="I39" i="1" s="1"/>
  <c r="I41" i="1" l="1"/>
  <c r="J10" i="1"/>
  <c r="N13" i="1"/>
  <c r="O13" i="1"/>
  <c r="M12" i="1"/>
  <c r="L11" i="1"/>
  <c r="K11" i="1"/>
  <c r="O12" i="1"/>
  <c r="K12" i="1"/>
  <c r="O11" i="1"/>
  <c r="N12" i="1"/>
  <c r="L12" i="1"/>
  <c r="O14" i="1"/>
  <c r="K14" i="1"/>
  <c r="J11" i="1"/>
  <c r="M13" i="1"/>
  <c r="L13" i="1"/>
  <c r="N14" i="1"/>
  <c r="L14" i="1"/>
  <c r="M11" i="1"/>
  <c r="M14" i="1"/>
  <c r="K13" i="1"/>
  <c r="AC20" i="1"/>
  <c r="J14" i="1"/>
  <c r="AB20" i="1"/>
  <c r="AC17" i="1"/>
  <c r="N11" i="1"/>
  <c r="AC18" i="1"/>
  <c r="J13" i="1"/>
  <c r="AB19" i="1"/>
  <c r="C19" i="1" s="1"/>
  <c r="AB18" i="1"/>
  <c r="J12" i="1"/>
  <c r="AB17" i="1"/>
  <c r="J9" i="1"/>
  <c r="C17" i="1" l="1"/>
  <c r="C18" i="1"/>
  <c r="AB12" i="1"/>
  <c r="AB13" i="1"/>
  <c r="C13" i="1" s="1"/>
  <c r="AB14" i="1"/>
  <c r="J30" i="1"/>
  <c r="J15" i="1"/>
  <c r="J34" i="1" s="1"/>
  <c r="C20" i="1"/>
  <c r="J37" i="1"/>
  <c r="AB11" i="1"/>
  <c r="J36" i="1" l="1"/>
  <c r="J39" i="1" s="1"/>
  <c r="AB33" i="1" l="1"/>
  <c r="J41" i="1" l="1"/>
  <c r="V12" i="1"/>
  <c r="AA12" i="1"/>
  <c r="Y12" i="1"/>
  <c r="V11" i="1"/>
  <c r="S14" i="1"/>
  <c r="AA11" i="1"/>
  <c r="Q11" i="1"/>
  <c r="U11" i="1"/>
  <c r="P14" i="1"/>
  <c r="Y14" i="1"/>
  <c r="Z11" i="1"/>
  <c r="S12" i="1"/>
  <c r="Q12" i="1"/>
  <c r="T11" i="1"/>
  <c r="U12" i="1"/>
  <c r="W11" i="1"/>
  <c r="W12" i="1"/>
  <c r="Z12" i="1"/>
  <c r="T12" i="1"/>
  <c r="P12" i="1"/>
  <c r="R14" i="1"/>
  <c r="S11" i="1"/>
  <c r="T14" i="1"/>
  <c r="X12" i="1"/>
  <c r="R12" i="1"/>
  <c r="AA14" i="1"/>
  <c r="X14" i="1"/>
  <c r="R11" i="1"/>
  <c r="Y11" i="1"/>
  <c r="Q14" i="1"/>
  <c r="X11" i="1"/>
  <c r="U14" i="1"/>
  <c r="V14" i="1"/>
  <c r="Z14" i="1"/>
  <c r="W14" i="1"/>
  <c r="P11" i="1"/>
  <c r="AC12" i="1" l="1"/>
  <c r="C12" i="1" s="1"/>
  <c r="AC11" i="1"/>
  <c r="C11" i="1" s="1"/>
  <c r="AC14" i="1"/>
  <c r="C14" i="1" s="1"/>
  <c r="Y10" i="1"/>
  <c r="Z10" i="1"/>
  <c r="Z9" i="1"/>
  <c r="Y9" i="1"/>
  <c r="AA10" i="1"/>
  <c r="X10" i="1"/>
  <c r="X9" i="1"/>
  <c r="AA9" i="1"/>
  <c r="Z37" i="1" l="1"/>
  <c r="Y15" i="1"/>
  <c r="X37" i="1"/>
  <c r="Y30" i="1"/>
  <c r="Z30" i="1"/>
  <c r="X30" i="1"/>
  <c r="X15" i="1"/>
  <c r="X34" i="1" s="1"/>
  <c r="Z15" i="1"/>
  <c r="Z34" i="1" s="1"/>
  <c r="Y37" i="1"/>
  <c r="Y34" i="1"/>
  <c r="AA37" i="1"/>
  <c r="AA30" i="1"/>
  <c r="AA15" i="1"/>
  <c r="AA34" i="1" s="1"/>
  <c r="Z33" i="1" l="1"/>
  <c r="Z36" i="1" s="1"/>
  <c r="Z39" i="1" s="1"/>
  <c r="Y33" i="1"/>
  <c r="AA33" i="1"/>
  <c r="AA36" i="1" s="1"/>
  <c r="AA39" i="1" s="1"/>
  <c r="X33" i="1"/>
  <c r="X36" i="1" s="1"/>
  <c r="X39" i="1" s="1"/>
  <c r="K10" i="1"/>
  <c r="L10" i="1"/>
  <c r="K9" i="1"/>
  <c r="K37" i="1" l="1"/>
  <c r="K30" i="1"/>
  <c r="L9" i="1"/>
  <c r="K15" i="1"/>
  <c r="K36" i="1" l="1"/>
  <c r="L37" i="1"/>
  <c r="L30" i="1"/>
  <c r="L36" i="1" s="1"/>
  <c r="L15" i="1"/>
  <c r="K34" i="1"/>
  <c r="M10" i="1"/>
  <c r="M9" i="1"/>
  <c r="L39" i="1" l="1"/>
  <c r="M37" i="1"/>
  <c r="M30" i="1"/>
  <c r="M15" i="1"/>
  <c r="N10" i="1"/>
  <c r="N9" i="1"/>
  <c r="L34" i="1"/>
  <c r="M35" i="1" s="1"/>
  <c r="K39" i="1"/>
  <c r="K41" i="1" l="1"/>
  <c r="L41" i="1" s="1"/>
  <c r="N37" i="1"/>
  <c r="N15" i="1"/>
  <c r="N34" i="1" s="1"/>
  <c r="N30" i="1"/>
  <c r="M34" i="1"/>
  <c r="O9" i="1"/>
  <c r="O10" i="1"/>
  <c r="AB10" i="1" s="1"/>
  <c r="AB16" i="1"/>
  <c r="M36" i="1"/>
  <c r="M39" i="1" l="1"/>
  <c r="O15" i="1"/>
  <c r="AB15" i="1" s="1"/>
  <c r="O30" i="1"/>
  <c r="O36" i="1" s="1"/>
  <c r="O37" i="1"/>
  <c r="AB37" i="1" s="1"/>
  <c r="P35" i="1"/>
  <c r="N36" i="1"/>
  <c r="N39" i="1" s="1"/>
  <c r="P10" i="1"/>
  <c r="P9" i="1"/>
  <c r="AB9" i="1"/>
  <c r="M41" i="1" l="1"/>
  <c r="N41" i="1" s="1"/>
  <c r="O39" i="1"/>
  <c r="AB39" i="1" s="1"/>
  <c r="O34" i="1"/>
  <c r="P37" i="1"/>
  <c r="P30" i="1"/>
  <c r="P15" i="1"/>
  <c r="Q10" i="1"/>
  <c r="Q9" i="1"/>
  <c r="AB30" i="1"/>
  <c r="AB36" i="1"/>
  <c r="S33" i="1" l="1"/>
  <c r="O41" i="1"/>
  <c r="R10" i="1"/>
  <c r="R9" i="1"/>
  <c r="P36" i="1"/>
  <c r="Q37" i="1"/>
  <c r="Q30" i="1"/>
  <c r="Q36" i="1" s="1"/>
  <c r="Q15" i="1"/>
  <c r="P34" i="1"/>
  <c r="Q34" i="1" l="1"/>
  <c r="P39" i="1"/>
  <c r="R37" i="1"/>
  <c r="R30" i="1"/>
  <c r="R36" i="1" s="1"/>
  <c r="R15" i="1"/>
  <c r="R34" i="1" s="1"/>
  <c r="S9" i="1"/>
  <c r="S10" i="1"/>
  <c r="Q39" i="1"/>
  <c r="R39" i="1" l="1"/>
  <c r="T10" i="1"/>
  <c r="T9" i="1"/>
  <c r="S15" i="1"/>
  <c r="S34" i="1" s="1"/>
  <c r="S30" i="1"/>
  <c r="S37" i="1"/>
  <c r="S35" i="1"/>
  <c r="P41" i="1"/>
  <c r="Q41" i="1" s="1"/>
  <c r="R41" i="1" l="1"/>
  <c r="T30" i="1"/>
  <c r="T36" i="1" s="1"/>
  <c r="T15" i="1"/>
  <c r="T34" i="1" s="1"/>
  <c r="T37" i="1"/>
  <c r="U10" i="1"/>
  <c r="U9" i="1"/>
  <c r="S36" i="1"/>
  <c r="S39" i="1" l="1"/>
  <c r="V9" i="1"/>
  <c r="V10" i="1"/>
  <c r="T39" i="1"/>
  <c r="U37" i="1"/>
  <c r="U30" i="1"/>
  <c r="U36" i="1" s="1"/>
  <c r="U15" i="1"/>
  <c r="U34" i="1" s="1"/>
  <c r="V35" i="1" l="1"/>
  <c r="W10" i="1"/>
  <c r="AC10" i="1" s="1"/>
  <c r="C10" i="1" s="1"/>
  <c r="W9" i="1"/>
  <c r="S41" i="1"/>
  <c r="T41" i="1" s="1"/>
  <c r="U39" i="1"/>
  <c r="AC16" i="1"/>
  <c r="C16" i="1" s="1"/>
  <c r="V15" i="1"/>
  <c r="V34" i="1" s="1"/>
  <c r="V37" i="1"/>
  <c r="V30" i="1"/>
  <c r="V36" i="1" l="1"/>
  <c r="V39" i="1" s="1"/>
  <c r="U41" i="1"/>
  <c r="W15" i="1"/>
  <c r="AC15" i="1" s="1"/>
  <c r="C15" i="1" s="1"/>
  <c r="W30" i="1"/>
  <c r="W37" i="1"/>
  <c r="AC37" i="1" s="1"/>
  <c r="C37" i="1" s="1"/>
  <c r="AC9" i="1"/>
  <c r="V41" i="1" l="1"/>
  <c r="W34" i="1"/>
  <c r="C9" i="1"/>
  <c r="W36" i="1"/>
  <c r="W39" i="1" s="1"/>
  <c r="AC30" i="1"/>
  <c r="C30" i="1" s="1"/>
  <c r="W41" i="1" l="1"/>
  <c r="X41" i="1" s="1"/>
  <c r="Y35" i="1"/>
  <c r="Y36" i="1" s="1"/>
  <c r="Y39" i="1" s="1"/>
  <c r="C44" i="1" s="1"/>
  <c r="C43" i="1" l="1"/>
  <c r="AC36" i="1"/>
  <c r="C36" i="1" s="1"/>
  <c r="Y41" i="1"/>
  <c r="Z41" i="1" s="1"/>
  <c r="AA41" i="1" s="1"/>
  <c r="AC39" i="1"/>
  <c r="C39" i="1" s="1"/>
  <c r="F60" i="14"/>
  <c r="C33" i="1" s="1"/>
  <c r="AC33" i="1" s="1"/>
  <c r="W73" i="12" l="1"/>
  <c r="W75" i="12" s="1"/>
</calcChain>
</file>

<file path=xl/sharedStrings.xml><?xml version="1.0" encoding="utf-8"?>
<sst xmlns="http://schemas.openxmlformats.org/spreadsheetml/2006/main" count="529" uniqueCount="356">
  <si>
    <t>Ставка Диск</t>
  </si>
  <si>
    <t>Итого</t>
  </si>
  <si>
    <t>EBITDA</t>
  </si>
  <si>
    <t>IRR</t>
  </si>
  <si>
    <t>NPV</t>
  </si>
  <si>
    <t>ROI</t>
  </si>
  <si>
    <t>1.1</t>
  </si>
  <si>
    <t>1.2</t>
  </si>
  <si>
    <t>Земляные работы:</t>
  </si>
  <si>
    <t>2.1</t>
  </si>
  <si>
    <t>2.2</t>
  </si>
  <si>
    <t>3.1</t>
  </si>
  <si>
    <t>3.2</t>
  </si>
  <si>
    <t>Виды Работ</t>
  </si>
  <si>
    <t>Цены ($)</t>
  </si>
  <si>
    <t>4.1</t>
  </si>
  <si>
    <t>4.3</t>
  </si>
  <si>
    <t>5.1</t>
  </si>
  <si>
    <t>5.2</t>
  </si>
  <si>
    <t>5.3</t>
  </si>
  <si>
    <t>5.4</t>
  </si>
  <si>
    <t>6.1</t>
  </si>
  <si>
    <t>6.2</t>
  </si>
  <si>
    <t>7.1</t>
  </si>
  <si>
    <t>7.2</t>
  </si>
  <si>
    <t>8.1</t>
  </si>
  <si>
    <t>8.2</t>
  </si>
  <si>
    <t>Системы пожаротушения и сигнализации</t>
  </si>
  <si>
    <t>Электроснабжение и освещение</t>
  </si>
  <si>
    <t>Водоснабжение и водоотведение</t>
  </si>
  <si>
    <t>Гидроизоляция</t>
  </si>
  <si>
    <t>Итого по строительству:</t>
  </si>
  <si>
    <t>Цены (KZT)</t>
  </si>
  <si>
    <t>Курс $/KZT</t>
  </si>
  <si>
    <t>HVAC (Отопление, вентиляция и кондиционирование)</t>
  </si>
  <si>
    <t>Парковка и подъездные пути:</t>
  </si>
  <si>
    <t>Строительство на м2</t>
  </si>
  <si>
    <t>%</t>
  </si>
  <si>
    <t>Итого на м2</t>
  </si>
  <si>
    <t>Статьи затрат на операционную деятельность (годовые)</t>
  </si>
  <si>
    <t>№</t>
  </si>
  <si>
    <t>2.3</t>
  </si>
  <si>
    <t>Обучение и повышение квалификации:</t>
  </si>
  <si>
    <t>9.1</t>
  </si>
  <si>
    <t>10.1</t>
  </si>
  <si>
    <t>10.2</t>
  </si>
  <si>
    <t xml:space="preserve">Заработная плата (20 человек, средняя зарплата $1000/месяц): </t>
  </si>
  <si>
    <t xml:space="preserve">Непредвиденные расходы и резервный фонд: </t>
  </si>
  <si>
    <t xml:space="preserve">Маркетинг и реклама: </t>
  </si>
  <si>
    <t xml:space="preserve">Обслуживание систем видеонаблюдения и контроля доступа: </t>
  </si>
  <si>
    <t xml:space="preserve">Охрана территории: </t>
  </si>
  <si>
    <t xml:space="preserve">Связь и интернет: </t>
  </si>
  <si>
    <t>Командировочные расходы:</t>
  </si>
  <si>
    <t xml:space="preserve">Канцелярские товары: </t>
  </si>
  <si>
    <t xml:space="preserve">Транспортные расходы: </t>
  </si>
  <si>
    <t xml:space="preserve">Топливо и обслуживание автопарка: </t>
  </si>
  <si>
    <t xml:space="preserve">Страхование имущества и ответственности: </t>
  </si>
  <si>
    <t xml:space="preserve">Ремонт и обслуживание оборудования: </t>
  </si>
  <si>
    <t xml:space="preserve">Обслуживание инженерных систем: </t>
  </si>
  <si>
    <t xml:space="preserve">Водоснабжение и водоотведение: </t>
  </si>
  <si>
    <t xml:space="preserve">Электроэнергия: </t>
  </si>
  <si>
    <t xml:space="preserve">Итого по операционной деятельности: </t>
  </si>
  <si>
    <t>CAPEX Investment</t>
  </si>
  <si>
    <t>Расходы OPEX</t>
  </si>
  <si>
    <t>Итоговые затраты на персонал</t>
  </si>
  <si>
    <r>
      <t>1. Руководящий персонал</t>
    </r>
    <r>
      <rPr>
        <sz val="10"/>
        <rFont val="Calibri"/>
        <family val="2"/>
        <charset val="204"/>
      </rPr>
      <t>:</t>
    </r>
  </si>
  <si>
    <r>
      <t>2. Административный и вспомогательный персонал</t>
    </r>
    <r>
      <rPr>
        <sz val="10"/>
        <rFont val="Calibri"/>
        <family val="2"/>
        <charset val="204"/>
      </rPr>
      <t>:</t>
    </r>
  </si>
  <si>
    <r>
      <t>3. Основной складской персонал</t>
    </r>
    <r>
      <rPr>
        <sz val="10"/>
        <rFont val="Calibri"/>
        <family val="2"/>
        <charset val="204"/>
      </rPr>
      <t>:</t>
    </r>
  </si>
  <si>
    <t>Позиция</t>
  </si>
  <si>
    <t>К-во</t>
  </si>
  <si>
    <r>
      <t>Кладовщики</t>
    </r>
    <r>
      <rPr>
        <sz val="10"/>
        <rFont val="Calibri"/>
        <family val="2"/>
        <charset val="204"/>
      </rPr>
      <t xml:space="preserve"> </t>
    </r>
  </si>
  <si>
    <t>Фундаментные работы:</t>
  </si>
  <si>
    <t>Строительство здания:</t>
  </si>
  <si>
    <t>Инженерные коммуникации:</t>
  </si>
  <si>
    <t>Благоустройство территории:</t>
  </si>
  <si>
    <t>1. Персонал:</t>
  </si>
  <si>
    <t>2. Коммунальные услуги:</t>
  </si>
  <si>
    <t>3. Техническое обслуживание:</t>
  </si>
  <si>
    <t>4. Аренда и страхование:</t>
  </si>
  <si>
    <t>5. Логистика и транспорт:</t>
  </si>
  <si>
    <t>Непредвиденные расходы</t>
  </si>
  <si>
    <t>Зам Директора по строительству</t>
  </si>
  <si>
    <t>ЗП $/месяц на руки</t>
  </si>
  <si>
    <t>Налоги и отчисления</t>
  </si>
  <si>
    <t>KPI (KZT)</t>
  </si>
  <si>
    <t>Годовая ФОТ  (KZT)</t>
  </si>
  <si>
    <t>Электрик</t>
  </si>
  <si>
    <t>Сантехник</t>
  </si>
  <si>
    <t>АПТ (автоматизация, пожаротушение)</t>
  </si>
  <si>
    <t>Видеонаблюдение</t>
  </si>
  <si>
    <t>СКУД</t>
  </si>
  <si>
    <t>Ограждение</t>
  </si>
  <si>
    <t>Озеленение</t>
  </si>
  <si>
    <t>Юрист (аутсорсинг)</t>
  </si>
  <si>
    <t>Всего</t>
  </si>
  <si>
    <t>PP - Годы</t>
  </si>
  <si>
    <t>В том числе:</t>
  </si>
  <si>
    <t>Виды работ</t>
  </si>
  <si>
    <t>1.3</t>
  </si>
  <si>
    <t xml:space="preserve">Авторский надзор </t>
  </si>
  <si>
    <t>1.4</t>
  </si>
  <si>
    <t xml:space="preserve">Технический надзор </t>
  </si>
  <si>
    <t>1.5</t>
  </si>
  <si>
    <t>Лабораторные испытания грунта, металлоконструкций и бетона.</t>
  </si>
  <si>
    <t xml:space="preserve">Разработка грунта машинами и механизмами </t>
  </si>
  <si>
    <t xml:space="preserve">Обратная засыпка и уплотнение грунта </t>
  </si>
  <si>
    <t>3.3</t>
  </si>
  <si>
    <t xml:space="preserve">Огнезащитная покраска </t>
  </si>
  <si>
    <t>4.4</t>
  </si>
  <si>
    <t>4.5</t>
  </si>
  <si>
    <t>4.6</t>
  </si>
  <si>
    <t>5.5</t>
  </si>
  <si>
    <t>5.6</t>
  </si>
  <si>
    <t>5.7</t>
  </si>
  <si>
    <t>7.3</t>
  </si>
  <si>
    <t>8</t>
  </si>
  <si>
    <t>Наружные сети :</t>
  </si>
  <si>
    <t xml:space="preserve">Тепловые сети </t>
  </si>
  <si>
    <t xml:space="preserve">Водопровод и Канализация </t>
  </si>
  <si>
    <t xml:space="preserve">Электрический кабель </t>
  </si>
  <si>
    <t xml:space="preserve">Технологическое оборудование: </t>
  </si>
  <si>
    <t>Трансформатор</t>
  </si>
  <si>
    <t>Итого:</t>
  </si>
  <si>
    <t>Начальник участка</t>
  </si>
  <si>
    <t>Срок окупаемости, лет</t>
  </si>
  <si>
    <t>Директор</t>
  </si>
  <si>
    <t>Площадь зем уч, га</t>
  </si>
  <si>
    <t>% по займу</t>
  </si>
  <si>
    <t>Субсидии</t>
  </si>
  <si>
    <t>Площадь жилья, м2</t>
  </si>
  <si>
    <t>Площадь коммерции, м2</t>
  </si>
  <si>
    <t>кол-во паркомест</t>
  </si>
  <si>
    <t>Цена реализации жилья</t>
  </si>
  <si>
    <t>Цена релизации коммерции</t>
  </si>
  <si>
    <t>Цена реализации паркинг</t>
  </si>
  <si>
    <t>Пятно 1</t>
  </si>
  <si>
    <t>Пятно 2</t>
  </si>
  <si>
    <t>Пятно 3</t>
  </si>
  <si>
    <t>Пятно 4</t>
  </si>
  <si>
    <t>Пятно 5</t>
  </si>
  <si>
    <t>Разработка проекта</t>
  </si>
  <si>
    <t>Техническое обследование</t>
  </si>
  <si>
    <t>1.6</t>
  </si>
  <si>
    <t>1.7</t>
  </si>
  <si>
    <t>Утверждение эскиза (Градсовет)</t>
  </si>
  <si>
    <t>Получение ТУ</t>
  </si>
  <si>
    <t>1.8</t>
  </si>
  <si>
    <t>Прохождение гос Экспертизы</t>
  </si>
  <si>
    <t>Проектные и подготовительные работы:</t>
  </si>
  <si>
    <t>Демонтажные работы</t>
  </si>
  <si>
    <t xml:space="preserve">Заливка фундамента </t>
  </si>
  <si>
    <t>Заливка пола, плит перекрытия, ДЖМ</t>
  </si>
  <si>
    <t>Металлоконструкции (изготовление и монтаж)</t>
  </si>
  <si>
    <t>Общестроительные работы</t>
  </si>
  <si>
    <t>Смета капитальных затрат ЖК Весновка</t>
  </si>
  <si>
    <t>Фасадные работы (БЦ Витраж)</t>
  </si>
  <si>
    <t>Окна и двери</t>
  </si>
  <si>
    <t>Временные здания и сооружения</t>
  </si>
  <si>
    <t>Инвестиции</t>
  </si>
  <si>
    <t>Привлеченный заем</t>
  </si>
  <si>
    <t>От реализации</t>
  </si>
  <si>
    <t>тен за 1 парко/место</t>
  </si>
  <si>
    <t>тенге 1 кв м</t>
  </si>
  <si>
    <t>Приобретение незавершенного строительства</t>
  </si>
  <si>
    <t>Площадь БЦ, м2</t>
  </si>
  <si>
    <t>Советник</t>
  </si>
  <si>
    <t>Руководитель проекта</t>
  </si>
  <si>
    <t>Начальник сметного отдела</t>
  </si>
  <si>
    <t>Сметчик</t>
  </si>
  <si>
    <t xml:space="preserve">Годовая зарплата $ </t>
  </si>
  <si>
    <t>Инженер ПТО</t>
  </si>
  <si>
    <t>Мастер</t>
  </si>
  <si>
    <t>Инженер БиОТ</t>
  </si>
  <si>
    <t>Бухгалтер</t>
  </si>
  <si>
    <t>Начальник снабжения</t>
  </si>
  <si>
    <t>Снабженец</t>
  </si>
  <si>
    <t>Инвентарь по БиОТ</t>
  </si>
  <si>
    <t>Спец одежда зимняя</t>
  </si>
  <si>
    <t>Спец одежда летняя</t>
  </si>
  <si>
    <t>Питание</t>
  </si>
  <si>
    <t>Цена жилья</t>
  </si>
  <si>
    <t>Цена бизнес помещения</t>
  </si>
  <si>
    <t>Цена паркинг</t>
  </si>
  <si>
    <t>Цена коммерция</t>
  </si>
  <si>
    <t>Цена релизации БЦ</t>
  </si>
  <si>
    <t>Плащадь жилья</t>
  </si>
  <si>
    <t>Плащадь коммерция</t>
  </si>
  <si>
    <t>Площадь бизнес помещения</t>
  </si>
  <si>
    <t>Аренда офиса</t>
  </si>
  <si>
    <t>4,2</t>
  </si>
  <si>
    <t>Крановщик</t>
  </si>
  <si>
    <t>6.3</t>
  </si>
  <si>
    <t>7</t>
  </si>
  <si>
    <t>Приобретение незавершенки и земли</t>
  </si>
  <si>
    <t>Приобретение башенного кран (2 шт)</t>
  </si>
  <si>
    <t>Ноутбуки для ИТР</t>
  </si>
  <si>
    <t>Себестоимость</t>
  </si>
  <si>
    <t>Маркетолог-продажник</t>
  </si>
  <si>
    <t>Продажник</t>
  </si>
  <si>
    <t>% от продаж (0,35%)</t>
  </si>
  <si>
    <t>2026 г</t>
  </si>
  <si>
    <t>2025 г</t>
  </si>
  <si>
    <t>8. Прочие расходы:</t>
  </si>
  <si>
    <t>7. Безопасность:</t>
  </si>
  <si>
    <t>6. Административные расходы:</t>
  </si>
  <si>
    <t>6.4</t>
  </si>
  <si>
    <t>6.5</t>
  </si>
  <si>
    <t>6.6</t>
  </si>
  <si>
    <t>8.3</t>
  </si>
  <si>
    <t>2024 г</t>
  </si>
  <si>
    <t>Паркинги</t>
  </si>
  <si>
    <t xml:space="preserve">Техническое обследование </t>
  </si>
  <si>
    <t xml:space="preserve">Проектные работы </t>
  </si>
  <si>
    <t xml:space="preserve">Демонтажные работы </t>
  </si>
  <si>
    <t xml:space="preserve">Покупка башенного крана </t>
  </si>
  <si>
    <t>ТУ (НВК ,ТС ,ЭОМ)</t>
  </si>
  <si>
    <t xml:space="preserve">Град совет </t>
  </si>
  <si>
    <t xml:space="preserve">Маркетинг </t>
  </si>
  <si>
    <t>Примерный</t>
  </si>
  <si>
    <t>Зарплатный фонд</t>
  </si>
  <si>
    <t>Налоги (КПН - 20%)</t>
  </si>
  <si>
    <t>Налоги (НДС - 12%)</t>
  </si>
  <si>
    <t>в т.ч. НДС</t>
  </si>
  <si>
    <t>КПН</t>
  </si>
  <si>
    <t>НДС к уплате в бюджет</t>
  </si>
  <si>
    <t xml:space="preserve">Прогнозируемая прибыль </t>
  </si>
  <si>
    <t>Итого с НДС 12%</t>
  </si>
  <si>
    <t xml:space="preserve">кладовка </t>
  </si>
  <si>
    <t xml:space="preserve">Паркинг машин мест </t>
  </si>
  <si>
    <t xml:space="preserve">Площадь коммерция </t>
  </si>
  <si>
    <t xml:space="preserve">Площадь квартир </t>
  </si>
  <si>
    <t xml:space="preserve">Площадь коммерция и квартиры себестоимость МЖК  без паркинга </t>
  </si>
  <si>
    <t xml:space="preserve">тенге </t>
  </si>
  <si>
    <t xml:space="preserve">Отдел продаж ремонт </t>
  </si>
  <si>
    <t>Бонусы отдел продаж</t>
  </si>
  <si>
    <t xml:space="preserve">Маркетинг МЖК </t>
  </si>
  <si>
    <t xml:space="preserve">Покупка МЖК </t>
  </si>
  <si>
    <t>Итого СМР с НДС 12%</t>
  </si>
  <si>
    <t xml:space="preserve">компл </t>
  </si>
  <si>
    <t xml:space="preserve">Покупка трансформатора с работой </t>
  </si>
  <si>
    <t>м2</t>
  </si>
  <si>
    <t xml:space="preserve">Благоустройства </t>
  </si>
  <si>
    <t xml:space="preserve">Прочие затраты </t>
  </si>
  <si>
    <t xml:space="preserve">Итого </t>
  </si>
  <si>
    <t xml:space="preserve">рассчет по чертежам </t>
  </si>
  <si>
    <t xml:space="preserve">шт </t>
  </si>
  <si>
    <t xml:space="preserve">Парковочных машин мест </t>
  </si>
  <si>
    <t>Площадь технических помещений</t>
  </si>
  <si>
    <t>Площадь помещения охраны</t>
  </si>
  <si>
    <t>Площадь паркинга</t>
  </si>
  <si>
    <t xml:space="preserve">АР, Jet вентиляция , ЭОМ ,АПС ,АПТ ,СС </t>
  </si>
  <si>
    <t xml:space="preserve">Паркинг подземный </t>
  </si>
  <si>
    <t xml:space="preserve">3 комнатные </t>
  </si>
  <si>
    <t xml:space="preserve">2 комнатные </t>
  </si>
  <si>
    <t xml:space="preserve">1 комнатные </t>
  </si>
  <si>
    <t xml:space="preserve">Квартиры </t>
  </si>
  <si>
    <t xml:space="preserve">Офисы </t>
  </si>
  <si>
    <t xml:space="preserve">Подвальное помещение </t>
  </si>
  <si>
    <t xml:space="preserve">КЖ,АР,ОВиК,АПС,СС,АПТ ,ЭОМ </t>
  </si>
  <si>
    <t>12 этажное здание пятно 4 со стороны Весновки  прямоугольное( примерные площади)</t>
  </si>
  <si>
    <t xml:space="preserve">Надо подумать можно ли превратить его в коммерцию </t>
  </si>
  <si>
    <t xml:space="preserve">4 этажа КЖ, АР,ОВиК,АПС,СС,АПТ ,ЭОМ </t>
  </si>
  <si>
    <t xml:space="preserve">12 этажное здание пятно 3 со стороны ул.Муканова квадратное </t>
  </si>
  <si>
    <t xml:space="preserve">АР,ОВиК,АПС,СС,АПТ ,ЭОМ </t>
  </si>
  <si>
    <t xml:space="preserve">8 этажное здание пятно 2 со стороны ул.Муканова </t>
  </si>
  <si>
    <t xml:space="preserve">Надо подумать можно ли превратить его в коммерцию или СПА </t>
  </si>
  <si>
    <t xml:space="preserve">12 этажное здание пятно 1 со стороны весновки квадратное </t>
  </si>
  <si>
    <t xml:space="preserve">Примечание по видам работ </t>
  </si>
  <si>
    <t>"Чистые" без НДС</t>
  </si>
  <si>
    <t>в том числе НДС</t>
  </si>
  <si>
    <t>Планируемые затраты</t>
  </si>
  <si>
    <t xml:space="preserve">К-во </t>
  </si>
  <si>
    <t xml:space="preserve">Ед.изм </t>
  </si>
  <si>
    <t>Наименование</t>
  </si>
  <si>
    <t>ДДС с нарастающим итогом</t>
  </si>
  <si>
    <t>ДДС по месяцам</t>
  </si>
  <si>
    <t>План продаж</t>
  </si>
  <si>
    <t xml:space="preserve">Сумма контракта </t>
  </si>
  <si>
    <t xml:space="preserve">Наименование </t>
  </si>
  <si>
    <t xml:space="preserve">Итого по строительству </t>
  </si>
  <si>
    <t xml:space="preserve">Отдел продаж Зарплатный фонд + бонусы </t>
  </si>
  <si>
    <t xml:space="preserve">Маркетинг Зарплатный фонд + бонусы </t>
  </si>
  <si>
    <t xml:space="preserve">Благоустройста </t>
  </si>
  <si>
    <t xml:space="preserve">Общестроительные работы </t>
  </si>
  <si>
    <t xml:space="preserve">Монтаж витражей </t>
  </si>
  <si>
    <t xml:space="preserve">Монтаж фасада </t>
  </si>
  <si>
    <t xml:space="preserve">Монтаж СС </t>
  </si>
  <si>
    <t>Монтаж ЭОМ</t>
  </si>
  <si>
    <t>Монтаж ОВиК</t>
  </si>
  <si>
    <t>Монтаж ВК</t>
  </si>
  <si>
    <t xml:space="preserve">Монтаж КЖ </t>
  </si>
  <si>
    <t xml:space="preserve">4 этап </t>
  </si>
  <si>
    <t xml:space="preserve">Покупка бетона </t>
  </si>
  <si>
    <t xml:space="preserve">Покупка арматуры </t>
  </si>
  <si>
    <t xml:space="preserve">Покупка общестроительные материалы </t>
  </si>
  <si>
    <t xml:space="preserve">Покупка материалов ВК </t>
  </si>
  <si>
    <t>Покупка лифта</t>
  </si>
  <si>
    <t xml:space="preserve">Покупка материалов слаботочка </t>
  </si>
  <si>
    <t xml:space="preserve">Покупка материалов электрики </t>
  </si>
  <si>
    <t xml:space="preserve">Покупка материалов отопление </t>
  </si>
  <si>
    <t xml:space="preserve">Покупка материалов вентиляция </t>
  </si>
  <si>
    <t xml:space="preserve">3 этап </t>
  </si>
  <si>
    <t xml:space="preserve">Демонтаж и монтаж крана </t>
  </si>
  <si>
    <t>Покупка витражей и стеклопакета 4507 м2</t>
  </si>
  <si>
    <t>Покупка мин.плиты 2200 м3</t>
  </si>
  <si>
    <t>Покупка алюминиевой подконструкций 22 тыс м2</t>
  </si>
  <si>
    <t>Покупка Laminam фасад облицовка (22 тыс м2)</t>
  </si>
  <si>
    <t xml:space="preserve">Усиление конструкций </t>
  </si>
  <si>
    <t>2 этап</t>
  </si>
  <si>
    <t xml:space="preserve">Покупка 1 кат лицензий </t>
  </si>
  <si>
    <t xml:space="preserve">Аренда офиса 150 м2 </t>
  </si>
  <si>
    <t>Отдел продаж под ключ с мебелью</t>
  </si>
  <si>
    <t>1 этап</t>
  </si>
  <si>
    <t>МЖК Весновка (паркинг , коммерция ,квартира)</t>
  </si>
  <si>
    <t xml:space="preserve">Примечание </t>
  </si>
  <si>
    <t>НДС к уплате</t>
  </si>
  <si>
    <t xml:space="preserve">Планируемая прибыль </t>
  </si>
  <si>
    <t xml:space="preserve">Планируемый продажи </t>
  </si>
  <si>
    <t xml:space="preserve">Итого себестоимость </t>
  </si>
  <si>
    <t xml:space="preserve">Мебель и тд </t>
  </si>
  <si>
    <t xml:space="preserve">Офисы бизнес центра </t>
  </si>
  <si>
    <t>Планируемая площадь здания ( 12 этажей) размером 45х20 м</t>
  </si>
  <si>
    <t>Стоимсоть без НДС</t>
  </si>
  <si>
    <t>Планируемые Стоимости</t>
  </si>
  <si>
    <t xml:space="preserve">Итого  Строительство </t>
  </si>
  <si>
    <t xml:space="preserve">Инженерные сети </t>
  </si>
  <si>
    <t xml:space="preserve">Фасад </t>
  </si>
  <si>
    <t xml:space="preserve">Монолит </t>
  </si>
  <si>
    <t xml:space="preserve">Металлоконструкция </t>
  </si>
  <si>
    <t xml:space="preserve">Гос.экспертиза </t>
  </si>
  <si>
    <t xml:space="preserve">Спец тех.условия по пожарке </t>
  </si>
  <si>
    <t xml:space="preserve">Бизнес центр </t>
  </si>
  <si>
    <t>Гл бухгалтер</t>
  </si>
  <si>
    <t>Прораб</t>
  </si>
  <si>
    <t>Инженер по планированию</t>
  </si>
  <si>
    <t>Главный энергетик</t>
  </si>
  <si>
    <t>Офис-менеджер</t>
  </si>
  <si>
    <t>Документолог</t>
  </si>
  <si>
    <t>Цена реализации кладовки</t>
  </si>
  <si>
    <t>Кладовки</t>
  </si>
  <si>
    <t>Кол-во кладовок</t>
  </si>
  <si>
    <t>Цена кладовок</t>
  </si>
  <si>
    <t>Вместе с БЦ</t>
  </si>
  <si>
    <t>Жилье</t>
  </si>
  <si>
    <t>Коммерция</t>
  </si>
  <si>
    <t>Бизнес помещения</t>
  </si>
  <si>
    <t xml:space="preserve">Кладовки </t>
  </si>
  <si>
    <t>Выручка от реализации, в т.ч.</t>
  </si>
  <si>
    <t>Итого доход без НДС</t>
  </si>
  <si>
    <t>МЖК</t>
  </si>
  <si>
    <t>БЦ</t>
  </si>
  <si>
    <t>Инфляция</t>
  </si>
  <si>
    <t>За ДОЛЮ</t>
  </si>
  <si>
    <t>Total CF по месяцам</t>
  </si>
  <si>
    <t>Total CF с нарастающим итогом</t>
  </si>
  <si>
    <t xml:space="preserve">Чистая прогнозируемая прибыль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</si>
</sst>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0\ _₽_-;\-* #,##0.00\ _₽_-;_-* &quot;-&quot;????\ _₽_-;_-@_-"/>
    <numFmt numFmtId="167" formatCode="_-* #,##0.0000\ _₽_-;\-* #,##0.0000\ _₽_-;_-* &quot;-&quot;????\ _₽_-;_-@_-"/>
    <numFmt numFmtId="168" formatCode="[$$-409]#,##0;[Red][$$-409]#,##0"/>
    <numFmt numFmtId="169" formatCode="#,##0_ ;[Red]\-#,##0\ "/>
    <numFmt numFmtId="170" formatCode="_-* #,##0.0_-;\-* #,##0.0_-;_-* &quot;-&quot;??_-;_-@_-"/>
    <numFmt numFmtId="171" formatCode="0.0%"/>
    <numFmt numFmtId="172" formatCode="0.0"/>
  </numFmts>
  <fonts count="47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Calibri"/>
      <family val="2"/>
      <charset val="204"/>
    </font>
    <font>
      <sz val="13.75"/>
      <name val="Calibri"/>
      <family val="2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Aptos Narrow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sz val="13.75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Aptos Narrow"/>
      <family val="2"/>
      <charset val="204"/>
      <scheme val="minor"/>
    </font>
    <font>
      <sz val="10"/>
      <name val="Segoe UI"/>
      <family val="2"/>
      <charset val="204"/>
    </font>
    <font>
      <b/>
      <sz val="1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i/>
      <sz val="9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9"/>
      <color rgb="FFFF0000"/>
      <name val="Calibri"/>
      <family val="2"/>
      <charset val="204"/>
    </font>
    <font>
      <b/>
      <sz val="9"/>
      <name val="Calibri"/>
      <family val="2"/>
      <charset val="204"/>
    </font>
    <font>
      <sz val="9"/>
      <color rgb="FFFF0000"/>
      <name val="Aptos Narrow"/>
      <family val="2"/>
      <charset val="204"/>
      <scheme val="minor"/>
    </font>
    <font>
      <sz val="9"/>
      <color theme="1"/>
      <name val="Aptos Narrow"/>
      <family val="2"/>
      <charset val="204"/>
      <scheme val="minor"/>
    </font>
    <font>
      <b/>
      <sz val="11"/>
      <color theme="1"/>
      <name val="Aptos Narrow"/>
      <charset val="204"/>
      <scheme val="minor"/>
    </font>
    <font>
      <sz val="11"/>
      <color rgb="FF00B0F0"/>
      <name val="Aptos Narrow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Aptos Narrow"/>
      <family val="2"/>
      <charset val="204"/>
      <scheme val="minor"/>
    </font>
    <font>
      <b/>
      <sz val="13.75"/>
      <name val="Segoe UI"/>
      <family val="2"/>
      <charset val="204"/>
    </font>
    <font>
      <b/>
      <sz val="14"/>
      <name val="Calibri"/>
      <family val="2"/>
      <charset val="204"/>
    </font>
    <font>
      <b/>
      <sz val="11"/>
      <color theme="1"/>
      <name val="Aptos Narrow"/>
      <family val="2"/>
      <charset val="204"/>
      <scheme val="minor"/>
    </font>
    <font>
      <sz val="7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8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75CC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4">
    <xf numFmtId="0" fontId="0" fillId="0" borderId="0" xfId="0"/>
    <xf numFmtId="164" fontId="0" fillId="0" borderId="0" xfId="1" applyNumberFormat="1" applyFont="1"/>
    <xf numFmtId="9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164" fontId="10" fillId="0" borderId="0" xfId="1" applyNumberFormat="1" applyFont="1"/>
    <xf numFmtId="168" fontId="0" fillId="0" borderId="0" xfId="0" applyNumberFormat="1"/>
    <xf numFmtId="9" fontId="0" fillId="0" borderId="0" xfId="1" applyNumberFormat="1" applyFont="1"/>
    <xf numFmtId="0" fontId="12" fillId="0" borderId="0" xfId="0" applyFont="1"/>
    <xf numFmtId="0" fontId="13" fillId="0" borderId="0" xfId="0" applyFont="1" applyAlignment="1">
      <alignment horizontal="left" vertical="center" indent="2"/>
    </xf>
    <xf numFmtId="0" fontId="14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right"/>
    </xf>
    <xf numFmtId="168" fontId="10" fillId="0" borderId="0" xfId="1" applyNumberFormat="1" applyFont="1"/>
    <xf numFmtId="0" fontId="7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indent="1"/>
    </xf>
    <xf numFmtId="0" fontId="0" fillId="3" borderId="0" xfId="0" applyFill="1"/>
    <xf numFmtId="168" fontId="10" fillId="3" borderId="0" xfId="1" applyNumberFormat="1" applyFont="1" applyFill="1"/>
    <xf numFmtId="0" fontId="4" fillId="0" borderId="2" xfId="0" applyFont="1" applyBorder="1" applyAlignment="1">
      <alignment horizontal="left" vertical="center" indent="2"/>
    </xf>
    <xf numFmtId="164" fontId="11" fillId="0" borderId="2" xfId="1" applyNumberFormat="1" applyFont="1" applyBorder="1"/>
    <xf numFmtId="168" fontId="11" fillId="0" borderId="2" xfId="1" applyNumberFormat="1" applyFont="1" applyBorder="1"/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5" fontId="16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/>
    <xf numFmtId="0" fontId="19" fillId="0" borderId="0" xfId="0" applyFont="1" applyAlignment="1">
      <alignment horizontal="left" indent="2"/>
    </xf>
    <xf numFmtId="0" fontId="11" fillId="2" borderId="0" xfId="0" applyFont="1" applyFill="1"/>
    <xf numFmtId="0" fontId="10" fillId="0" borderId="0" xfId="0" applyFont="1" applyAlignment="1">
      <alignment horizontal="left" indent="1"/>
    </xf>
    <xf numFmtId="0" fontId="7" fillId="3" borderId="0" xfId="0" applyFont="1" applyFill="1"/>
    <xf numFmtId="9" fontId="15" fillId="3" borderId="0" xfId="0" applyNumberFormat="1" applyFont="1" applyFill="1"/>
    <xf numFmtId="164" fontId="15" fillId="3" borderId="0" xfId="0" applyNumberFormat="1" applyFont="1" applyFill="1"/>
    <xf numFmtId="9" fontId="15" fillId="3" borderId="0" xfId="2" applyFont="1" applyFill="1"/>
    <xf numFmtId="166" fontId="15" fillId="3" borderId="0" xfId="0" applyNumberFormat="1" applyFont="1" applyFill="1" applyAlignment="1">
      <alignment horizontal="right"/>
    </xf>
    <xf numFmtId="164" fontId="10" fillId="0" borderId="0" xfId="1" applyNumberFormat="1" applyFont="1" applyAlignment="1">
      <alignment horizontal="center"/>
    </xf>
    <xf numFmtId="164" fontId="10" fillId="3" borderId="0" xfId="1" applyNumberFormat="1" applyFont="1" applyFill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9" fontId="22" fillId="3" borderId="0" xfId="2" applyFont="1" applyFill="1" applyAlignment="1">
      <alignment horizontal="center"/>
    </xf>
    <xf numFmtId="3" fontId="16" fillId="0" borderId="0" xfId="0" applyNumberFormat="1" applyFont="1"/>
    <xf numFmtId="168" fontId="10" fillId="4" borderId="0" xfId="1" applyNumberFormat="1" applyFont="1" applyFill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4" fillId="0" borderId="0" xfId="0" applyFont="1"/>
    <xf numFmtId="164" fontId="11" fillId="4" borderId="0" xfId="1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168" fontId="10" fillId="4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right"/>
    </xf>
    <xf numFmtId="164" fontId="24" fillId="0" borderId="0" xfId="0" applyNumberFormat="1" applyFont="1"/>
    <xf numFmtId="169" fontId="16" fillId="0" borderId="0" xfId="0" applyNumberFormat="1" applyFont="1"/>
    <xf numFmtId="3" fontId="0" fillId="0" borderId="0" xfId="0" applyNumberFormat="1"/>
    <xf numFmtId="0" fontId="0" fillId="4" borderId="0" xfId="0" applyFill="1"/>
    <xf numFmtId="3" fontId="25" fillId="0" borderId="0" xfId="0" applyNumberFormat="1" applyFont="1"/>
    <xf numFmtId="168" fontId="11" fillId="4" borderId="0" xfId="0" applyNumberFormat="1" applyFont="1" applyFill="1" applyAlignment="1">
      <alignment horizontal="center" vertical="center"/>
    </xf>
    <xf numFmtId="170" fontId="24" fillId="0" borderId="0" xfId="0" applyNumberFormat="1" applyFont="1"/>
    <xf numFmtId="4" fontId="24" fillId="5" borderId="0" xfId="0" applyNumberFormat="1" applyFont="1" applyFill="1"/>
    <xf numFmtId="0" fontId="18" fillId="0" borderId="0" xfId="0" applyFont="1"/>
    <xf numFmtId="0" fontId="26" fillId="0" borderId="0" xfId="0" applyFont="1"/>
    <xf numFmtId="171" fontId="27" fillId="0" borderId="0" xfId="2" applyNumberFormat="1" applyFont="1"/>
    <xf numFmtId="169" fontId="15" fillId="0" borderId="0" xfId="0" applyNumberFormat="1" applyFont="1"/>
    <xf numFmtId="169" fontId="15" fillId="2" borderId="0" xfId="0" applyNumberFormat="1" applyFont="1" applyFill="1"/>
    <xf numFmtId="169" fontId="21" fillId="0" borderId="0" xfId="0" applyNumberFormat="1" applyFont="1"/>
    <xf numFmtId="0" fontId="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3" fontId="23" fillId="0" borderId="0" xfId="0" applyNumberFormat="1" applyFont="1"/>
    <xf numFmtId="3" fontId="24" fillId="0" borderId="0" xfId="0" applyNumberFormat="1" applyFont="1"/>
    <xf numFmtId="9" fontId="10" fillId="0" borderId="0" xfId="2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0" fillId="0" borderId="0" xfId="0" applyNumberFormat="1"/>
    <xf numFmtId="164" fontId="10" fillId="4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left" indent="1"/>
    </xf>
    <xf numFmtId="43" fontId="0" fillId="0" borderId="0" xfId="1" applyFont="1"/>
    <xf numFmtId="10" fontId="16" fillId="0" borderId="0" xfId="2" applyNumberFormat="1" applyFont="1"/>
    <xf numFmtId="17" fontId="2" fillId="6" borderId="0" xfId="0" applyNumberFormat="1" applyFont="1" applyFill="1" applyAlignment="1">
      <alignment horizontal="center"/>
    </xf>
    <xf numFmtId="17" fontId="7" fillId="7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left" vertical="center" indent="1"/>
    </xf>
    <xf numFmtId="0" fontId="11" fillId="8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 indent="1"/>
    </xf>
    <xf numFmtId="168" fontId="11" fillId="8" borderId="0" xfId="0" applyNumberFormat="1" applyFont="1" applyFill="1" applyAlignment="1">
      <alignment horizontal="center" vertical="center"/>
    </xf>
    <xf numFmtId="164" fontId="11" fillId="8" borderId="0" xfId="1" applyNumberFormat="1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right" vertical="center"/>
    </xf>
    <xf numFmtId="0" fontId="8" fillId="8" borderId="0" xfId="0" applyFont="1" applyFill="1" applyAlignment="1">
      <alignment horizontal="left" vertical="center" indent="2"/>
    </xf>
    <xf numFmtId="0" fontId="2" fillId="4" borderId="0" xfId="0" applyFont="1" applyFill="1" applyAlignment="1">
      <alignment vertical="center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11" fillId="8" borderId="0" xfId="0" applyFont="1" applyFill="1"/>
    <xf numFmtId="168" fontId="11" fillId="8" borderId="0" xfId="0" applyNumberFormat="1" applyFont="1" applyFill="1"/>
    <xf numFmtId="164" fontId="11" fillId="8" borderId="0" xfId="1" applyNumberFormat="1" applyFont="1" applyFill="1"/>
    <xf numFmtId="168" fontId="11" fillId="4" borderId="0" xfId="0" applyNumberFormat="1" applyFont="1" applyFill="1"/>
    <xf numFmtId="164" fontId="11" fillId="4" borderId="0" xfId="1" applyNumberFormat="1" applyFont="1" applyFill="1"/>
    <xf numFmtId="0" fontId="30" fillId="4" borderId="0" xfId="0" applyFont="1" applyFill="1"/>
    <xf numFmtId="169" fontId="31" fillId="0" borderId="0" xfId="0" applyNumberFormat="1" applyFont="1"/>
    <xf numFmtId="3" fontId="7" fillId="4" borderId="0" xfId="0" applyNumberFormat="1" applyFont="1" applyFill="1"/>
    <xf numFmtId="3" fontId="11" fillId="8" borderId="0" xfId="0" applyNumberFormat="1" applyFont="1" applyFill="1"/>
    <xf numFmtId="3" fontId="10" fillId="0" borderId="0" xfId="0" applyNumberFormat="1" applyFont="1"/>
    <xf numFmtId="3" fontId="11" fillId="4" borderId="0" xfId="1" applyNumberFormat="1" applyFont="1" applyFill="1" applyAlignment="1">
      <alignment horizontal="center" vertical="center"/>
    </xf>
    <xf numFmtId="3" fontId="15" fillId="8" borderId="0" xfId="0" applyNumberFormat="1" applyFont="1" applyFill="1"/>
    <xf numFmtId="3" fontId="16" fillId="8" borderId="0" xfId="0" applyNumberFormat="1" applyFont="1" applyFill="1"/>
    <xf numFmtId="3" fontId="16" fillId="0" borderId="0" xfId="1" applyNumberFormat="1" applyFont="1"/>
    <xf numFmtId="3" fontId="10" fillId="0" borderId="0" xfId="1" applyNumberFormat="1" applyFont="1"/>
    <xf numFmtId="169" fontId="0" fillId="0" borderId="0" xfId="0" applyNumberFormat="1"/>
    <xf numFmtId="3" fontId="20" fillId="0" borderId="0" xfId="0" applyNumberFormat="1" applyFont="1"/>
    <xf numFmtId="3" fontId="16" fillId="0" borderId="0" xfId="2" applyNumberFormat="1" applyFont="1"/>
    <xf numFmtId="3" fontId="17" fillId="0" borderId="0" xfId="1" applyNumberFormat="1" applyFont="1"/>
    <xf numFmtId="3" fontId="16" fillId="0" borderId="0" xfId="0" applyNumberFormat="1" applyFont="1" applyAlignment="1">
      <alignment horizontal="left" indent="1"/>
    </xf>
    <xf numFmtId="3" fontId="17" fillId="0" borderId="0" xfId="0" applyNumberFormat="1" applyFont="1" applyAlignment="1">
      <alignment horizontal="left" indent="2"/>
    </xf>
    <xf numFmtId="169" fontId="16" fillId="0" borderId="0" xfId="0" applyNumberFormat="1" applyFont="1" applyAlignment="1">
      <alignment horizontal="left" indent="1"/>
    </xf>
    <xf numFmtId="0" fontId="32" fillId="9" borderId="3" xfId="0" applyFont="1" applyFill="1" applyBorder="1" applyAlignment="1">
      <alignment horizontal="center" vertical="center"/>
    </xf>
    <xf numFmtId="0" fontId="32" fillId="10" borderId="4" xfId="0" applyFont="1" applyFill="1" applyBorder="1"/>
    <xf numFmtId="3" fontId="33" fillId="11" borderId="4" xfId="0" applyNumberFormat="1" applyFont="1" applyFill="1" applyBorder="1" applyAlignment="1">
      <alignment horizontal="center" vertical="center"/>
    </xf>
    <xf numFmtId="3" fontId="33" fillId="12" borderId="4" xfId="0" applyNumberFormat="1" applyFont="1" applyFill="1" applyBorder="1" applyAlignment="1">
      <alignment horizontal="center" vertical="center"/>
    </xf>
    <xf numFmtId="3" fontId="33" fillId="13" borderId="4" xfId="0" applyNumberFormat="1" applyFont="1" applyFill="1" applyBorder="1" applyAlignment="1">
      <alignment horizontal="center" vertical="center"/>
    </xf>
    <xf numFmtId="3" fontId="33" fillId="14" borderId="4" xfId="0" applyNumberFormat="1" applyFont="1" applyFill="1" applyBorder="1" applyAlignment="1">
      <alignment horizontal="center" vertical="center"/>
    </xf>
    <xf numFmtId="3" fontId="33" fillId="15" borderId="4" xfId="0" applyNumberFormat="1" applyFont="1" applyFill="1" applyBorder="1" applyAlignment="1">
      <alignment horizontal="center" vertical="center"/>
    </xf>
    <xf numFmtId="3" fontId="33" fillId="16" borderId="4" xfId="0" applyNumberFormat="1" applyFont="1" applyFill="1" applyBorder="1" applyAlignment="1">
      <alignment horizontal="center" vertical="center"/>
    </xf>
    <xf numFmtId="3" fontId="33" fillId="17" borderId="4" xfId="0" applyNumberFormat="1" applyFont="1" applyFill="1" applyBorder="1" applyAlignment="1">
      <alignment horizontal="center" vertical="center"/>
    </xf>
    <xf numFmtId="3" fontId="33" fillId="18" borderId="4" xfId="0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>
      <alignment horizontal="center" vertical="center"/>
    </xf>
    <xf numFmtId="3" fontId="33" fillId="20" borderId="4" xfId="0" applyNumberFormat="1" applyFont="1" applyFill="1" applyBorder="1" applyAlignment="1">
      <alignment horizontal="center" vertical="center"/>
    </xf>
    <xf numFmtId="3" fontId="33" fillId="21" borderId="4" xfId="0" applyNumberFormat="1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3" fontId="30" fillId="0" borderId="0" xfId="0" applyNumberFormat="1" applyFont="1"/>
    <xf numFmtId="3" fontId="0" fillId="0" borderId="0" xfId="0" applyNumberForma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3" fontId="32" fillId="0" borderId="0" xfId="0" applyNumberFormat="1" applyFont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3" fontId="32" fillId="0" borderId="8" xfId="0" applyNumberFormat="1" applyFont="1" applyBorder="1" applyAlignment="1">
      <alignment horizontal="center"/>
    </xf>
    <xf numFmtId="0" fontId="32" fillId="0" borderId="9" xfId="0" applyFont="1" applyBorder="1"/>
    <xf numFmtId="3" fontId="34" fillId="0" borderId="10" xfId="0" applyNumberFormat="1" applyFont="1" applyBorder="1"/>
    <xf numFmtId="0" fontId="32" fillId="0" borderId="11" xfId="0" applyFont="1" applyBorder="1"/>
    <xf numFmtId="0" fontId="32" fillId="0" borderId="12" xfId="0" applyFont="1" applyBorder="1"/>
    <xf numFmtId="0" fontId="34" fillId="0" borderId="12" xfId="0" applyFont="1" applyBorder="1"/>
    <xf numFmtId="3" fontId="32" fillId="0" borderId="12" xfId="0" applyNumberFormat="1" applyFont="1" applyBorder="1" applyAlignment="1">
      <alignment horizontal="center"/>
    </xf>
    <xf numFmtId="0" fontId="32" fillId="0" borderId="5" xfId="0" applyFont="1" applyBorder="1"/>
    <xf numFmtId="0" fontId="32" fillId="0" borderId="10" xfId="0" applyFont="1" applyBorder="1"/>
    <xf numFmtId="0" fontId="32" fillId="0" borderId="4" xfId="0" applyFont="1" applyBorder="1"/>
    <xf numFmtId="0" fontId="34" fillId="0" borderId="4" xfId="0" applyFont="1" applyBorder="1"/>
    <xf numFmtId="3" fontId="32" fillId="0" borderId="4" xfId="0" applyNumberFormat="1" applyFont="1" applyBorder="1" applyAlignment="1">
      <alignment horizontal="center"/>
    </xf>
    <xf numFmtId="4" fontId="32" fillId="0" borderId="0" xfId="0" applyNumberFormat="1" applyFont="1"/>
    <xf numFmtId="3" fontId="35" fillId="0" borderId="4" xfId="0" applyNumberFormat="1" applyFont="1" applyBorder="1" applyAlignment="1">
      <alignment horizontal="center" vertical="center" wrapText="1"/>
    </xf>
    <xf numFmtId="3" fontId="35" fillId="0" borderId="10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 vertical="center"/>
    </xf>
    <xf numFmtId="3" fontId="34" fillId="0" borderId="0" xfId="0" applyNumberFormat="1" applyFont="1"/>
    <xf numFmtId="0" fontId="32" fillId="4" borderId="5" xfId="0" applyFont="1" applyFill="1" applyBorder="1"/>
    <xf numFmtId="3" fontId="36" fillId="4" borderId="10" xfId="0" applyNumberFormat="1" applyFont="1" applyFill="1" applyBorder="1" applyAlignment="1">
      <alignment horizontal="center" vertical="center"/>
    </xf>
    <xf numFmtId="3" fontId="36" fillId="4" borderId="4" xfId="0" applyNumberFormat="1" applyFont="1" applyFill="1" applyBorder="1" applyAlignment="1">
      <alignment horizontal="center" vertical="center"/>
    </xf>
    <xf numFmtId="4" fontId="36" fillId="4" borderId="4" xfId="0" applyNumberFormat="1" applyFont="1" applyFill="1" applyBorder="1" applyAlignment="1">
      <alignment horizontal="center" vertical="center"/>
    </xf>
    <xf numFmtId="3" fontId="36" fillId="4" borderId="4" xfId="0" applyNumberFormat="1" applyFont="1" applyFill="1" applyBorder="1" applyAlignment="1">
      <alignment horizontal="center"/>
    </xf>
    <xf numFmtId="0" fontId="36" fillId="4" borderId="4" xfId="0" applyFont="1" applyFill="1" applyBorder="1" applyAlignment="1">
      <alignment horizontal="left" vertical="center" wrapText="1"/>
    </xf>
    <xf numFmtId="3" fontId="37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3" fontId="37" fillId="0" borderId="4" xfId="0" applyNumberFormat="1" applyFont="1" applyBorder="1" applyAlignment="1">
      <alignment horizontal="center"/>
    </xf>
    <xf numFmtId="0" fontId="37" fillId="0" borderId="4" xfId="0" applyFont="1" applyBorder="1"/>
    <xf numFmtId="3" fontId="38" fillId="4" borderId="10" xfId="0" applyNumberFormat="1" applyFont="1" applyFill="1" applyBorder="1" applyAlignment="1">
      <alignment horizontal="center" vertical="center"/>
    </xf>
    <xf numFmtId="3" fontId="38" fillId="4" borderId="4" xfId="0" applyNumberFormat="1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3" fontId="38" fillId="4" borderId="4" xfId="0" applyNumberFormat="1" applyFont="1" applyFill="1" applyBorder="1" applyAlignment="1">
      <alignment horizontal="center"/>
    </xf>
    <xf numFmtId="0" fontId="38" fillId="4" borderId="4" xfId="0" applyFont="1" applyFill="1" applyBorder="1"/>
    <xf numFmtId="3" fontId="32" fillId="0" borderId="10" xfId="0" applyNumberFormat="1" applyFont="1" applyBorder="1" applyAlignment="1">
      <alignment horizontal="center" vertical="center"/>
    </xf>
    <xf numFmtId="3" fontId="39" fillId="0" borderId="4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3" fontId="40" fillId="0" borderId="4" xfId="0" applyNumberFormat="1" applyFont="1" applyBorder="1" applyAlignment="1">
      <alignment horizontal="center"/>
    </xf>
    <xf numFmtId="0" fontId="40" fillId="0" borderId="4" xfId="0" applyFont="1" applyBorder="1"/>
    <xf numFmtId="3" fontId="41" fillId="0" borderId="4" xfId="0" applyNumberFormat="1" applyFont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3" fontId="41" fillId="0" borderId="4" xfId="0" applyNumberFormat="1" applyFont="1" applyBorder="1" applyAlignment="1">
      <alignment horizontal="center"/>
    </xf>
    <xf numFmtId="0" fontId="41" fillId="0" borderId="4" xfId="0" applyFont="1" applyBorder="1"/>
    <xf numFmtId="0" fontId="42" fillId="0" borderId="4" xfId="0" applyFont="1" applyBorder="1"/>
    <xf numFmtId="3" fontId="42" fillId="0" borderId="4" xfId="0" applyNumberFormat="1" applyFont="1" applyBorder="1" applyAlignment="1">
      <alignment horizontal="center"/>
    </xf>
    <xf numFmtId="3" fontId="43" fillId="0" borderId="4" xfId="0" applyNumberFormat="1" applyFont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3" fontId="43" fillId="0" borderId="4" xfId="0" applyNumberFormat="1" applyFont="1" applyBorder="1" applyAlignment="1">
      <alignment horizontal="center"/>
    </xf>
    <xf numFmtId="0" fontId="43" fillId="0" borderId="4" xfId="0" applyFont="1" applyBorder="1"/>
    <xf numFmtId="3" fontId="34" fillId="0" borderId="10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" fontId="34" fillId="0" borderId="4" xfId="0" applyNumberFormat="1" applyFont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/>
    </xf>
    <xf numFmtId="0" fontId="34" fillId="0" borderId="4" xfId="0" applyFont="1" applyBorder="1" applyAlignment="1">
      <alignment horizontal="right" vertical="center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 wrapText="1"/>
    </xf>
    <xf numFmtId="3" fontId="32" fillId="0" borderId="5" xfId="0" applyNumberFormat="1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3" fontId="32" fillId="0" borderId="5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/>
    </xf>
    <xf numFmtId="169" fontId="34" fillId="0" borderId="0" xfId="0" applyNumberFormat="1" applyFont="1"/>
    <xf numFmtId="0" fontId="34" fillId="0" borderId="0" xfId="0" applyFont="1" applyAlignment="1">
      <alignment horizontal="right"/>
    </xf>
    <xf numFmtId="0" fontId="34" fillId="0" borderId="0" xfId="0" applyFont="1"/>
    <xf numFmtId="169" fontId="32" fillId="0" borderId="0" xfId="0" applyNumberFormat="1" applyFont="1"/>
    <xf numFmtId="3" fontId="32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/>
    <xf numFmtId="0" fontId="32" fillId="0" borderId="1" xfId="0" applyFont="1" applyBorder="1"/>
    <xf numFmtId="17" fontId="32" fillId="12" borderId="1" xfId="0" applyNumberFormat="1" applyFont="1" applyFill="1" applyBorder="1" applyAlignment="1">
      <alignment horizontal="center" vertical="center"/>
    </xf>
    <xf numFmtId="17" fontId="32" fillId="21" borderId="1" xfId="0" applyNumberFormat="1" applyFont="1" applyFill="1" applyBorder="1" applyAlignment="1">
      <alignment horizontal="center" vertical="center"/>
    </xf>
    <xf numFmtId="17" fontId="32" fillId="11" borderId="1" xfId="0" applyNumberFormat="1" applyFont="1" applyFill="1" applyBorder="1" applyAlignment="1">
      <alignment horizontal="center" vertical="center"/>
    </xf>
    <xf numFmtId="17" fontId="32" fillId="20" borderId="1" xfId="0" applyNumberFormat="1" applyFont="1" applyFill="1" applyBorder="1" applyAlignment="1">
      <alignment horizontal="center" vertical="center"/>
    </xf>
    <xf numFmtId="17" fontId="32" fillId="19" borderId="1" xfId="0" applyNumberFormat="1" applyFont="1" applyFill="1" applyBorder="1" applyAlignment="1">
      <alignment horizontal="center" vertical="center"/>
    </xf>
    <xf numFmtId="17" fontId="32" fillId="16" borderId="1" xfId="0" applyNumberFormat="1" applyFont="1" applyFill="1" applyBorder="1" applyAlignment="1">
      <alignment horizontal="center" vertical="center"/>
    </xf>
    <xf numFmtId="17" fontId="32" fillId="18" borderId="1" xfId="0" applyNumberFormat="1" applyFont="1" applyFill="1" applyBorder="1" applyAlignment="1">
      <alignment horizontal="center" vertical="center"/>
    </xf>
    <xf numFmtId="17" fontId="32" fillId="17" borderId="1" xfId="0" applyNumberFormat="1" applyFont="1" applyFill="1" applyBorder="1" applyAlignment="1">
      <alignment horizontal="center" vertical="center"/>
    </xf>
    <xf numFmtId="17" fontId="32" fillId="15" borderId="1" xfId="0" applyNumberFormat="1" applyFont="1" applyFill="1" applyBorder="1" applyAlignment="1">
      <alignment horizontal="center" vertical="center"/>
    </xf>
    <xf numFmtId="17" fontId="32" fillId="5" borderId="1" xfId="0" applyNumberFormat="1" applyFont="1" applyFill="1" applyBorder="1" applyAlignment="1">
      <alignment horizontal="center" vertical="center"/>
    </xf>
    <xf numFmtId="17" fontId="32" fillId="14" borderId="1" xfId="0" applyNumberFormat="1" applyFont="1" applyFill="1" applyBorder="1" applyAlignment="1">
      <alignment horizontal="center" vertical="center"/>
    </xf>
    <xf numFmtId="17" fontId="32" fillId="13" borderId="1" xfId="0" applyNumberFormat="1" applyFont="1" applyFill="1" applyBorder="1" applyAlignment="1">
      <alignment horizontal="center" vertical="center"/>
    </xf>
    <xf numFmtId="3" fontId="32" fillId="19" borderId="1" xfId="0" applyNumberFormat="1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center"/>
    </xf>
    <xf numFmtId="0" fontId="43" fillId="0" borderId="0" xfId="0" applyFont="1"/>
    <xf numFmtId="0" fontId="32" fillId="22" borderId="0" xfId="0" applyFont="1" applyFill="1" applyBorder="1"/>
    <xf numFmtId="3" fontId="43" fillId="0" borderId="1" xfId="0" applyNumberFormat="1" applyFont="1" applyBorder="1" applyAlignment="1">
      <alignment horizontal="center"/>
    </xf>
    <xf numFmtId="0" fontId="43" fillId="0" borderId="1" xfId="0" applyFont="1" applyBorder="1"/>
    <xf numFmtId="17" fontId="32" fillId="22" borderId="0" xfId="0" applyNumberFormat="1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0" fontId="44" fillId="0" borderId="0" xfId="0" applyFont="1"/>
    <xf numFmtId="171" fontId="32" fillId="0" borderId="0" xfId="2" applyNumberFormat="1" applyFont="1" applyAlignment="1">
      <alignment horizontal="center"/>
    </xf>
    <xf numFmtId="0" fontId="32" fillId="22" borderId="16" xfId="0" applyFont="1" applyFill="1" applyBorder="1" applyAlignment="1">
      <alignment horizontal="center" vertical="center"/>
    </xf>
    <xf numFmtId="3" fontId="34" fillId="22" borderId="16" xfId="0" applyNumberFormat="1" applyFont="1" applyFill="1" applyBorder="1" applyAlignment="1">
      <alignment horizontal="center" vertical="center"/>
    </xf>
    <xf numFmtId="3" fontId="43" fillId="22" borderId="16" xfId="0" applyNumberFormat="1" applyFont="1" applyFill="1" applyBorder="1" applyAlignment="1">
      <alignment horizontal="right"/>
    </xf>
    <xf numFmtId="0" fontId="32" fillId="5" borderId="17" xfId="0" applyFont="1" applyFill="1" applyBorder="1" applyAlignment="1">
      <alignment horizontal="center" vertical="center"/>
    </xf>
    <xf numFmtId="3" fontId="32" fillId="12" borderId="17" xfId="0" applyNumberFormat="1" applyFont="1" applyFill="1" applyBorder="1" applyAlignment="1">
      <alignment horizontal="center" vertical="center"/>
    </xf>
    <xf numFmtId="3" fontId="32" fillId="21" borderId="17" xfId="0" applyNumberFormat="1" applyFont="1" applyFill="1" applyBorder="1" applyAlignment="1">
      <alignment horizontal="center" vertical="center"/>
    </xf>
    <xf numFmtId="3" fontId="32" fillId="11" borderId="17" xfId="0" applyNumberFormat="1" applyFont="1" applyFill="1" applyBorder="1" applyAlignment="1">
      <alignment horizontal="center" vertical="center"/>
    </xf>
    <xf numFmtId="3" fontId="32" fillId="20" borderId="17" xfId="0" applyNumberFormat="1" applyFont="1" applyFill="1" applyBorder="1" applyAlignment="1">
      <alignment horizontal="center" vertical="center"/>
    </xf>
    <xf numFmtId="3" fontId="32" fillId="19" borderId="17" xfId="0" applyNumberFormat="1" applyFont="1" applyFill="1" applyBorder="1" applyAlignment="1">
      <alignment horizontal="center" vertical="center"/>
    </xf>
    <xf numFmtId="3" fontId="32" fillId="16" borderId="17" xfId="0" applyNumberFormat="1" applyFont="1" applyFill="1" applyBorder="1" applyAlignment="1">
      <alignment horizontal="center" vertical="center"/>
    </xf>
    <xf numFmtId="3" fontId="32" fillId="18" borderId="17" xfId="0" applyNumberFormat="1" applyFont="1" applyFill="1" applyBorder="1" applyAlignment="1">
      <alignment horizontal="center" vertical="center"/>
    </xf>
    <xf numFmtId="3" fontId="32" fillId="17" borderId="17" xfId="0" applyNumberFormat="1" applyFont="1" applyFill="1" applyBorder="1" applyAlignment="1">
      <alignment horizontal="center" vertical="center"/>
    </xf>
    <xf numFmtId="3" fontId="32" fillId="15" borderId="17" xfId="0" applyNumberFormat="1" applyFont="1" applyFill="1" applyBorder="1" applyAlignment="1">
      <alignment horizontal="center" vertical="center"/>
    </xf>
    <xf numFmtId="3" fontId="32" fillId="5" borderId="17" xfId="0" applyNumberFormat="1" applyFont="1" applyFill="1" applyBorder="1" applyAlignment="1">
      <alignment horizontal="center" vertical="center"/>
    </xf>
    <xf numFmtId="3" fontId="32" fillId="14" borderId="17" xfId="0" applyNumberFormat="1" applyFont="1" applyFill="1" applyBorder="1" applyAlignment="1">
      <alignment horizontal="center" vertical="center"/>
    </xf>
    <xf numFmtId="3" fontId="32" fillId="13" borderId="17" xfId="0" applyNumberFormat="1" applyFont="1" applyFill="1" applyBorder="1" applyAlignment="1">
      <alignment horizontal="center" vertical="center"/>
    </xf>
    <xf numFmtId="3" fontId="34" fillId="19" borderId="17" xfId="0" applyNumberFormat="1" applyFont="1" applyFill="1" applyBorder="1" applyAlignment="1">
      <alignment horizontal="center"/>
    </xf>
    <xf numFmtId="0" fontId="34" fillId="10" borderId="17" xfId="0" applyFont="1" applyFill="1" applyBorder="1" applyAlignment="1">
      <alignment horizontal="right"/>
    </xf>
    <xf numFmtId="0" fontId="32" fillId="5" borderId="1" xfId="0" applyFont="1" applyFill="1" applyBorder="1" applyAlignment="1">
      <alignment horizontal="center" vertical="center"/>
    </xf>
    <xf numFmtId="3" fontId="32" fillId="12" borderId="1" xfId="0" applyNumberFormat="1" applyFont="1" applyFill="1" applyBorder="1" applyAlignment="1">
      <alignment horizontal="center" vertical="center"/>
    </xf>
    <xf numFmtId="3" fontId="32" fillId="21" borderId="1" xfId="0" applyNumberFormat="1" applyFont="1" applyFill="1" applyBorder="1" applyAlignment="1">
      <alignment horizontal="center" vertical="center"/>
    </xf>
    <xf numFmtId="3" fontId="32" fillId="11" borderId="1" xfId="0" applyNumberFormat="1" applyFont="1" applyFill="1" applyBorder="1" applyAlignment="1">
      <alignment horizontal="center" vertical="center"/>
    </xf>
    <xf numFmtId="3" fontId="32" fillId="20" borderId="1" xfId="0" applyNumberFormat="1" applyFont="1" applyFill="1" applyBorder="1" applyAlignment="1">
      <alignment horizontal="center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2" fillId="18" borderId="1" xfId="0" applyNumberFormat="1" applyFont="1" applyFill="1" applyBorder="1" applyAlignment="1">
      <alignment horizontal="center" vertical="center"/>
    </xf>
    <xf numFmtId="3" fontId="32" fillId="17" borderId="1" xfId="0" applyNumberFormat="1" applyFont="1" applyFill="1" applyBorder="1" applyAlignment="1">
      <alignment horizontal="center" vertical="center"/>
    </xf>
    <xf numFmtId="3" fontId="32" fillId="15" borderId="1" xfId="0" applyNumberFormat="1" applyFont="1" applyFill="1" applyBorder="1" applyAlignment="1">
      <alignment horizontal="center" vertical="center"/>
    </xf>
    <xf numFmtId="3" fontId="32" fillId="5" borderId="1" xfId="0" applyNumberFormat="1" applyFont="1" applyFill="1" applyBorder="1" applyAlignment="1">
      <alignment horizontal="center" vertical="center"/>
    </xf>
    <xf numFmtId="3" fontId="32" fillId="14" borderId="1" xfId="0" applyNumberFormat="1" applyFont="1" applyFill="1" applyBorder="1" applyAlignment="1">
      <alignment horizontal="center" vertical="center"/>
    </xf>
    <xf numFmtId="3" fontId="32" fillId="13" borderId="1" xfId="0" applyNumberFormat="1" applyFont="1" applyFill="1" applyBorder="1" applyAlignment="1">
      <alignment horizontal="center" vertical="center"/>
    </xf>
    <xf numFmtId="3" fontId="32" fillId="19" borderId="1" xfId="0" applyNumberFormat="1" applyFont="1" applyFill="1" applyBorder="1" applyAlignment="1">
      <alignment horizontal="center"/>
    </xf>
    <xf numFmtId="0" fontId="32" fillId="10" borderId="1" xfId="0" applyFont="1" applyFill="1" applyBorder="1"/>
    <xf numFmtId="0" fontId="32" fillId="10" borderId="1" xfId="0" applyFont="1" applyFill="1" applyBorder="1" applyAlignment="1">
      <alignment horizontal="left" vertical="center"/>
    </xf>
    <xf numFmtId="0" fontId="34" fillId="10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left" vertical="center" wrapText="1"/>
    </xf>
    <xf numFmtId="3" fontId="32" fillId="23" borderId="1" xfId="0" applyNumberFormat="1" applyFont="1" applyFill="1" applyBorder="1" applyAlignment="1">
      <alignment horizontal="center" vertical="center"/>
    </xf>
    <xf numFmtId="3" fontId="32" fillId="24" borderId="1" xfId="0" applyNumberFormat="1" applyFont="1" applyFill="1" applyBorder="1" applyAlignment="1">
      <alignment horizontal="center" vertical="center"/>
    </xf>
    <xf numFmtId="3" fontId="34" fillId="19" borderId="1" xfId="0" applyNumberFormat="1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17" fontId="34" fillId="12" borderId="1" xfId="0" applyNumberFormat="1" applyFont="1" applyFill="1" applyBorder="1" applyAlignment="1">
      <alignment horizontal="center" vertical="center"/>
    </xf>
    <xf numFmtId="17" fontId="34" fillId="21" borderId="1" xfId="0" applyNumberFormat="1" applyFont="1" applyFill="1" applyBorder="1" applyAlignment="1">
      <alignment horizontal="center" vertical="center"/>
    </xf>
    <xf numFmtId="17" fontId="34" fillId="11" borderId="1" xfId="0" applyNumberFormat="1" applyFont="1" applyFill="1" applyBorder="1" applyAlignment="1">
      <alignment horizontal="center" vertical="center"/>
    </xf>
    <xf numFmtId="17" fontId="34" fillId="20" borderId="1" xfId="0" applyNumberFormat="1" applyFont="1" applyFill="1" applyBorder="1" applyAlignment="1">
      <alignment horizontal="center" vertical="center"/>
    </xf>
    <xf numFmtId="17" fontId="34" fillId="19" borderId="1" xfId="0" applyNumberFormat="1" applyFont="1" applyFill="1" applyBorder="1" applyAlignment="1">
      <alignment horizontal="center" vertical="center"/>
    </xf>
    <xf numFmtId="17" fontId="34" fillId="16" borderId="1" xfId="0" applyNumberFormat="1" applyFont="1" applyFill="1" applyBorder="1" applyAlignment="1">
      <alignment horizontal="center" vertical="center"/>
    </xf>
    <xf numFmtId="17" fontId="34" fillId="18" borderId="1" xfId="0" applyNumberFormat="1" applyFont="1" applyFill="1" applyBorder="1" applyAlignment="1">
      <alignment horizontal="center" vertical="center"/>
    </xf>
    <xf numFmtId="17" fontId="34" fillId="17" borderId="1" xfId="0" applyNumberFormat="1" applyFont="1" applyFill="1" applyBorder="1" applyAlignment="1">
      <alignment horizontal="center" vertical="center"/>
    </xf>
    <xf numFmtId="17" fontId="34" fillId="15" borderId="1" xfId="0" applyNumberFormat="1" applyFont="1" applyFill="1" applyBorder="1" applyAlignment="1">
      <alignment horizontal="center" vertical="center"/>
    </xf>
    <xf numFmtId="17" fontId="34" fillId="5" borderId="1" xfId="0" applyNumberFormat="1" applyFont="1" applyFill="1" applyBorder="1" applyAlignment="1">
      <alignment horizontal="center" vertical="center"/>
    </xf>
    <xf numFmtId="17" fontId="34" fillId="14" borderId="1" xfId="0" applyNumberFormat="1" applyFont="1" applyFill="1" applyBorder="1" applyAlignment="1">
      <alignment horizontal="center" vertical="center"/>
    </xf>
    <xf numFmtId="17" fontId="34" fillId="13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18" xfId="0" applyFont="1" applyBorder="1"/>
    <xf numFmtId="0" fontId="32" fillId="0" borderId="19" xfId="0" applyFont="1" applyBorder="1"/>
    <xf numFmtId="0" fontId="32" fillId="0" borderId="19" xfId="0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0" fontId="32" fillId="0" borderId="20" xfId="0" applyFont="1" applyBorder="1"/>
    <xf numFmtId="3" fontId="32" fillId="0" borderId="21" xfId="0" applyNumberFormat="1" applyFont="1" applyBorder="1"/>
    <xf numFmtId="3" fontId="43" fillId="0" borderId="17" xfId="0" applyNumberFormat="1" applyFont="1" applyBorder="1" applyAlignment="1">
      <alignment horizontal="center"/>
    </xf>
    <xf numFmtId="4" fontId="43" fillId="0" borderId="17" xfId="0" applyNumberFormat="1" applyFont="1" applyBorder="1" applyAlignment="1">
      <alignment horizontal="center" vertical="center"/>
    </xf>
    <xf numFmtId="0" fontId="43" fillId="0" borderId="22" xfId="0" applyFont="1" applyBorder="1"/>
    <xf numFmtId="3" fontId="32" fillId="0" borderId="23" xfId="0" applyNumberFormat="1" applyFont="1" applyBorder="1"/>
    <xf numFmtId="0" fontId="32" fillId="0" borderId="23" xfId="0" applyFont="1" applyBorder="1"/>
    <xf numFmtId="0" fontId="32" fillId="0" borderId="1" xfId="0" applyFont="1" applyBorder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/>
    </xf>
    <xf numFmtId="0" fontId="32" fillId="0" borderId="24" xfId="0" applyFont="1" applyBorder="1"/>
    <xf numFmtId="3" fontId="41" fillId="0" borderId="1" xfId="0" applyNumberFormat="1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/>
    </xf>
    <xf numFmtId="0" fontId="41" fillId="0" borderId="24" xfId="0" applyFont="1" applyBorder="1"/>
    <xf numFmtId="3" fontId="34" fillId="0" borderId="1" xfId="0" applyNumberFormat="1" applyFont="1" applyBorder="1" applyAlignment="1">
      <alignment horizontal="center"/>
    </xf>
    <xf numFmtId="4" fontId="34" fillId="0" borderId="1" xfId="0" applyNumberFormat="1" applyFont="1" applyBorder="1" applyAlignment="1">
      <alignment horizontal="center" vertical="center"/>
    </xf>
    <xf numFmtId="0" fontId="34" fillId="0" borderId="24" xfId="0" applyFont="1" applyBorder="1"/>
    <xf numFmtId="0" fontId="32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/>
    </xf>
    <xf numFmtId="0" fontId="34" fillId="0" borderId="1" xfId="0" applyFont="1" applyBorder="1" applyAlignment="1">
      <alignment horizontal="center"/>
    </xf>
    <xf numFmtId="0" fontId="34" fillId="0" borderId="24" xfId="0" applyFont="1" applyBorder="1" applyAlignment="1">
      <alignment horizontal="left" vertical="center"/>
    </xf>
    <xf numFmtId="3" fontId="40" fillId="0" borderId="1" xfId="0" applyNumberFormat="1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0" fontId="40" fillId="0" borderId="24" xfId="0" applyFont="1" applyBorder="1" applyAlignment="1">
      <alignment horizontal="left" vertical="center"/>
    </xf>
    <xf numFmtId="0" fontId="34" fillId="0" borderId="24" xfId="0" applyFont="1" applyBorder="1" applyAlignment="1">
      <alignment horizontal="right" vertical="center"/>
    </xf>
    <xf numFmtId="3" fontId="39" fillId="0" borderId="1" xfId="0" applyNumberFormat="1" applyFont="1" applyBorder="1" applyAlignment="1"/>
    <xf numFmtId="3" fontId="39" fillId="0" borderId="1" xfId="0" applyNumberFormat="1" applyFont="1" applyBorder="1" applyAlignment="1">
      <alignment horizontal="center"/>
    </xf>
    <xf numFmtId="4" fontId="39" fillId="0" borderId="1" xfId="0" applyNumberFormat="1" applyFont="1" applyBorder="1" applyAlignment="1">
      <alignment horizontal="center" vertical="center"/>
    </xf>
    <xf numFmtId="0" fontId="39" fillId="0" borderId="24" xfId="0" applyFont="1" applyBorder="1"/>
    <xf numFmtId="3" fontId="32" fillId="0" borderId="23" xfId="0" applyNumberFormat="1" applyFont="1" applyBorder="1" applyAlignment="1">
      <alignment horizontal="center" vertical="center"/>
    </xf>
    <xf numFmtId="0" fontId="32" fillId="0" borderId="24" xfId="0" applyFont="1" applyBorder="1" applyAlignment="1">
      <alignment wrapText="1"/>
    </xf>
    <xf numFmtId="3" fontId="32" fillId="0" borderId="23" xfId="0" applyNumberFormat="1" applyFont="1" applyBorder="1" applyAlignment="1">
      <alignment horizontal="center" vertical="center" wrapText="1"/>
    </xf>
    <xf numFmtId="3" fontId="34" fillId="0" borderId="25" xfId="0" applyNumberFormat="1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3" fontId="34" fillId="0" borderId="26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3" fontId="32" fillId="22" borderId="0" xfId="0" applyNumberFormat="1" applyFont="1" applyFill="1" applyBorder="1" applyAlignment="1">
      <alignment horizontal="center" vertical="center"/>
    </xf>
    <xf numFmtId="0" fontId="32" fillId="22" borderId="0" xfId="0" applyFont="1" applyFill="1"/>
    <xf numFmtId="0" fontId="32" fillId="22" borderId="0" xfId="0" applyFont="1" applyFill="1" applyAlignment="1">
      <alignment horizontal="center" vertical="center"/>
    </xf>
    <xf numFmtId="3" fontId="34" fillId="22" borderId="0" xfId="0" applyNumberFormat="1" applyFont="1" applyFill="1" applyAlignment="1">
      <alignment horizontal="center" vertical="center"/>
    </xf>
    <xf numFmtId="3" fontId="43" fillId="22" borderId="0" xfId="0" applyNumberFormat="1" applyFont="1" applyFill="1" applyAlignment="1">
      <alignment horizontal="center"/>
    </xf>
    <xf numFmtId="3" fontId="43" fillId="22" borderId="0" xfId="0" applyNumberFormat="1" applyFont="1" applyFill="1" applyAlignment="1">
      <alignment horizontal="right"/>
    </xf>
    <xf numFmtId="3" fontId="43" fillId="22" borderId="16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171" fontId="0" fillId="4" borderId="0" xfId="2" applyNumberFormat="1" applyFont="1" applyFill="1"/>
    <xf numFmtId="169" fontId="16" fillId="4" borderId="0" xfId="0" applyNumberFormat="1" applyFont="1" applyFill="1"/>
    <xf numFmtId="0" fontId="11" fillId="7" borderId="0" xfId="0" applyFont="1" applyFill="1"/>
    <xf numFmtId="169" fontId="15" fillId="7" borderId="0" xfId="0" applyNumberFormat="1" applyFont="1" applyFill="1"/>
    <xf numFmtId="0" fontId="2" fillId="7" borderId="0" xfId="0" applyFont="1" applyFill="1" applyAlignment="1">
      <alignment horizontal="left" indent="1"/>
    </xf>
    <xf numFmtId="0" fontId="11" fillId="5" borderId="0" xfId="0" applyFont="1" applyFill="1"/>
    <xf numFmtId="0" fontId="26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0" fontId="45" fillId="0" borderId="0" xfId="0" applyFont="1" applyAlignment="1">
      <alignment horizontal="left" indent="2"/>
    </xf>
    <xf numFmtId="164" fontId="45" fillId="0" borderId="0" xfId="1" applyNumberFormat="1" applyFont="1"/>
    <xf numFmtId="0" fontId="7" fillId="6" borderId="0" xfId="0" applyFont="1" applyFill="1"/>
    <xf numFmtId="17" fontId="7" fillId="7" borderId="27" xfId="0" applyNumberFormat="1" applyFont="1" applyFill="1" applyBorder="1" applyAlignment="1">
      <alignment horizontal="center"/>
    </xf>
    <xf numFmtId="17" fontId="7" fillId="7" borderId="25" xfId="0" applyNumberFormat="1" applyFont="1" applyFill="1" applyBorder="1" applyAlignment="1">
      <alignment horizontal="center"/>
    </xf>
    <xf numFmtId="169" fontId="20" fillId="7" borderId="24" xfId="0" applyNumberFormat="1" applyFont="1" applyFill="1" applyBorder="1"/>
    <xf numFmtId="169" fontId="15" fillId="7" borderId="23" xfId="0" applyNumberFormat="1" applyFont="1" applyFill="1" applyBorder="1"/>
    <xf numFmtId="169" fontId="16" fillId="7" borderId="23" xfId="0" applyNumberFormat="1" applyFont="1" applyFill="1" applyBorder="1"/>
    <xf numFmtId="9" fontId="16" fillId="0" borderId="24" xfId="2" applyFont="1" applyBorder="1"/>
    <xf numFmtId="0" fontId="16" fillId="0" borderId="23" xfId="0" applyFont="1" applyBorder="1"/>
    <xf numFmtId="3" fontId="26" fillId="0" borderId="24" xfId="0" applyNumberFormat="1" applyFont="1" applyBorder="1"/>
    <xf numFmtId="3" fontId="26" fillId="0" borderId="23" xfId="0" applyNumberFormat="1" applyFont="1" applyBorder="1"/>
    <xf numFmtId="164" fontId="45" fillId="0" borderId="24" xfId="1" applyNumberFormat="1" applyFont="1" applyBorder="1"/>
    <xf numFmtId="164" fontId="45" fillId="0" borderId="23" xfId="1" applyNumberFormat="1" applyFont="1" applyBorder="1"/>
    <xf numFmtId="164" fontId="17" fillId="0" borderId="24" xfId="1" applyNumberFormat="1" applyFont="1" applyBorder="1"/>
    <xf numFmtId="164" fontId="17" fillId="0" borderId="23" xfId="1" applyNumberFormat="1" applyFont="1" applyBorder="1"/>
    <xf numFmtId="169" fontId="15" fillId="0" borderId="24" xfId="0" applyNumberFormat="1" applyFont="1" applyBorder="1"/>
    <xf numFmtId="169" fontId="15" fillId="0" borderId="23" xfId="0" applyNumberFormat="1" applyFont="1" applyBorder="1"/>
    <xf numFmtId="169" fontId="16" fillId="0" borderId="24" xfId="0" applyNumberFormat="1" applyFont="1" applyBorder="1"/>
    <xf numFmtId="169" fontId="16" fillId="0" borderId="23" xfId="0" applyNumberFormat="1" applyFont="1" applyBorder="1"/>
    <xf numFmtId="169" fontId="15" fillId="2" borderId="24" xfId="0" applyNumberFormat="1" applyFont="1" applyFill="1" applyBorder="1"/>
    <xf numFmtId="169" fontId="15" fillId="2" borderId="23" xfId="0" applyNumberFormat="1" applyFont="1" applyFill="1" applyBorder="1"/>
    <xf numFmtId="164" fontId="16" fillId="0" borderId="24" xfId="0" applyNumberFormat="1" applyFont="1" applyBorder="1"/>
    <xf numFmtId="164" fontId="16" fillId="0" borderId="23" xfId="0" applyNumberFormat="1" applyFont="1" applyBorder="1"/>
    <xf numFmtId="169" fontId="20" fillId="0" borderId="24" xfId="0" applyNumberFormat="1" applyFont="1" applyBorder="1"/>
    <xf numFmtId="169" fontId="21" fillId="0" borderId="24" xfId="0" applyNumberFormat="1" applyFont="1" applyBorder="1"/>
    <xf numFmtId="169" fontId="21" fillId="0" borderId="23" xfId="0" applyNumberFormat="1" applyFont="1" applyBorder="1"/>
    <xf numFmtId="0" fontId="26" fillId="0" borderId="24" xfId="0" applyFont="1" applyBorder="1"/>
    <xf numFmtId="172" fontId="26" fillId="0" borderId="23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0" xfId="0" applyFont="1" applyBorder="1"/>
    <xf numFmtId="0" fontId="16" fillId="0" borderId="18" xfId="0" applyFont="1" applyBorder="1"/>
    <xf numFmtId="0" fontId="7" fillId="6" borderId="28" xfId="0" applyFont="1" applyFill="1" applyBorder="1"/>
    <xf numFmtId="169" fontId="2" fillId="7" borderId="29" xfId="0" applyNumberFormat="1" applyFont="1" applyFill="1" applyBorder="1"/>
    <xf numFmtId="0" fontId="2" fillId="0" borderId="29" xfId="0" applyFont="1" applyBorder="1"/>
    <xf numFmtId="4" fontId="26" fillId="0" borderId="29" xfId="0" applyNumberFormat="1" applyFont="1" applyBorder="1"/>
    <xf numFmtId="0" fontId="26" fillId="0" borderId="29" xfId="0" applyFont="1" applyBorder="1"/>
    <xf numFmtId="169" fontId="7" fillId="0" borderId="29" xfId="0" applyNumberFormat="1" applyFont="1" applyBorder="1"/>
    <xf numFmtId="169" fontId="2" fillId="0" borderId="29" xfId="0" applyNumberFormat="1" applyFont="1" applyBorder="1"/>
    <xf numFmtId="9" fontId="15" fillId="3" borderId="29" xfId="0" applyNumberFormat="1" applyFont="1" applyFill="1" applyBorder="1"/>
    <xf numFmtId="164" fontId="15" fillId="3" borderId="29" xfId="0" applyNumberFormat="1" applyFont="1" applyFill="1" applyBorder="1"/>
    <xf numFmtId="9" fontId="15" fillId="3" borderId="29" xfId="2" applyFont="1" applyFill="1" applyBorder="1"/>
    <xf numFmtId="166" fontId="15" fillId="3" borderId="30" xfId="0" applyNumberFormat="1" applyFont="1" applyFill="1" applyBorder="1" applyAlignment="1">
      <alignment horizontal="right"/>
    </xf>
    <xf numFmtId="164" fontId="46" fillId="5" borderId="29" xfId="1" applyNumberFormat="1" applyFont="1" applyFill="1" applyBorder="1"/>
    <xf numFmtId="3" fontId="11" fillId="5" borderId="0" xfId="0" applyNumberFormat="1" applyFont="1" applyFill="1"/>
    <xf numFmtId="164" fontId="46" fillId="5" borderId="0" xfId="1" applyNumberFormat="1" applyFont="1" applyFill="1"/>
    <xf numFmtId="164" fontId="46" fillId="5" borderId="24" xfId="1" applyNumberFormat="1" applyFont="1" applyFill="1" applyBorder="1"/>
    <xf numFmtId="164" fontId="46" fillId="5" borderId="23" xfId="1" applyNumberFormat="1" applyFont="1" applyFill="1" applyBorder="1"/>
    <xf numFmtId="0" fontId="10" fillId="5" borderId="0" xfId="0" applyFont="1" applyFill="1" applyAlignment="1">
      <alignment horizontal="left" indent="1"/>
    </xf>
    <xf numFmtId="164" fontId="19" fillId="5" borderId="29" xfId="1" applyNumberFormat="1" applyFont="1" applyFill="1" applyBorder="1"/>
    <xf numFmtId="164" fontId="19" fillId="5" borderId="0" xfId="1" applyNumberFormat="1" applyFont="1" applyFill="1"/>
    <xf numFmtId="164" fontId="19" fillId="5" borderId="24" xfId="1" applyNumberFormat="1" applyFont="1" applyFill="1" applyBorder="1"/>
    <xf numFmtId="0" fontId="2" fillId="6" borderId="29" xfId="0" applyFont="1" applyFill="1" applyBorder="1"/>
    <xf numFmtId="0" fontId="11" fillId="6" borderId="0" xfId="0" applyFont="1" applyFill="1"/>
    <xf numFmtId="169" fontId="15" fillId="6" borderId="0" xfId="0" applyNumberFormat="1" applyFont="1" applyFill="1"/>
    <xf numFmtId="169" fontId="15" fillId="6" borderId="24" xfId="0" applyNumberFormat="1" applyFont="1" applyFill="1" applyBorder="1"/>
    <xf numFmtId="169" fontId="15" fillId="6" borderId="23" xfId="0" applyNumberFormat="1" applyFont="1" applyFill="1" applyBorder="1"/>
    <xf numFmtId="169" fontId="11" fillId="6" borderId="29" xfId="0" applyNumberFormat="1" applyFont="1" applyFill="1" applyBorder="1"/>
    <xf numFmtId="0" fontId="13" fillId="0" borderId="0" xfId="0" applyFont="1" applyAlignment="1">
      <alignment horizontal="left" vertical="center" wrapText="1" indent="2"/>
    </xf>
    <xf numFmtId="0" fontId="8" fillId="8" borderId="0" xfId="0" applyFont="1" applyFill="1" applyAlignment="1">
      <alignment horizontal="left" vertical="center" wrapText="1" indent="1"/>
    </xf>
    <xf numFmtId="3" fontId="34" fillId="0" borderId="11" xfId="0" applyNumberFormat="1" applyFont="1" applyBorder="1"/>
    <xf numFmtId="0" fontId="43" fillId="0" borderId="12" xfId="0" applyFont="1" applyBorder="1" applyAlignment="1">
      <alignment wrapText="1"/>
    </xf>
    <xf numFmtId="0" fontId="44" fillId="0" borderId="12" xfId="0" applyFont="1" applyBorder="1"/>
    <xf numFmtId="0" fontId="44" fillId="0" borderId="11" xfId="0" applyFont="1" applyBorder="1"/>
    <xf numFmtId="3" fontId="43" fillId="0" borderId="11" xfId="0" applyNumberFormat="1" applyFont="1" applyBorder="1" applyAlignment="1">
      <alignment horizontal="center" vertical="center"/>
    </xf>
    <xf numFmtId="0" fontId="35" fillId="0" borderId="24" xfId="0" applyFont="1" applyBorder="1"/>
    <xf numFmtId="3" fontId="35" fillId="0" borderId="1" xfId="0" applyNumberFormat="1" applyFont="1" applyBorder="1" applyAlignment="1">
      <alignment horizontal="center"/>
    </xf>
    <xf numFmtId="4" fontId="35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workbookViewId="0">
      <selection activeCell="C18" sqref="C18"/>
    </sheetView>
  </sheetViews>
  <sheetFormatPr defaultRowHeight="14.25"/>
  <cols>
    <col min="1" max="1" width="12.875" customWidth="1"/>
    <col min="2" max="2" width="15.375" customWidth="1"/>
    <col min="3" max="3" width="9.75" bestFit="1" customWidth="1"/>
    <col min="4" max="4" width="12.125" customWidth="1"/>
    <col min="5" max="5" width="13" customWidth="1"/>
    <col min="10" max="10" width="14.75" bestFit="1" customWidth="1"/>
  </cols>
  <sheetData>
    <row r="1" spans="2:10">
      <c r="C1" s="53" t="s">
        <v>94</v>
      </c>
      <c r="D1" s="52" t="s">
        <v>135</v>
      </c>
      <c r="E1" s="52" t="s">
        <v>136</v>
      </c>
      <c r="F1" s="52" t="s">
        <v>137</v>
      </c>
      <c r="G1" s="52" t="s">
        <v>138</v>
      </c>
      <c r="H1" s="52" t="s">
        <v>139</v>
      </c>
    </row>
    <row r="2" spans="2:10">
      <c r="B2" s="50" t="s">
        <v>129</v>
      </c>
      <c r="C2" s="1">
        <v>20245</v>
      </c>
      <c r="J2" s="94">
        <f>C2*C14</f>
        <v>27330750000</v>
      </c>
    </row>
    <row r="3" spans="2:10">
      <c r="B3" s="50" t="s">
        <v>130</v>
      </c>
      <c r="C3" s="1">
        <v>4761</v>
      </c>
      <c r="J3" s="94">
        <f>C3*C15</f>
        <v>7379550000</v>
      </c>
    </row>
    <row r="4" spans="2:10">
      <c r="B4" s="50" t="s">
        <v>164</v>
      </c>
      <c r="C4" s="1">
        <v>7800</v>
      </c>
      <c r="D4" s="89"/>
      <c r="E4" s="89"/>
      <c r="J4" s="94">
        <f>C4*C16</f>
        <v>12090000000</v>
      </c>
    </row>
    <row r="5" spans="2:10" ht="15">
      <c r="B5" s="72" t="s">
        <v>122</v>
      </c>
      <c r="C5" s="73">
        <f>C2+C3+C4</f>
        <v>32806</v>
      </c>
      <c r="D5" s="73">
        <f t="shared" ref="D5:H5" si="0">D2+D3+D4</f>
        <v>0</v>
      </c>
      <c r="E5" s="73">
        <f t="shared" si="0"/>
        <v>0</v>
      </c>
      <c r="F5" s="73">
        <f t="shared" si="0"/>
        <v>0</v>
      </c>
      <c r="G5" s="73">
        <f t="shared" si="0"/>
        <v>0</v>
      </c>
      <c r="H5" s="73">
        <f t="shared" si="0"/>
        <v>0</v>
      </c>
      <c r="J5" s="94"/>
    </row>
    <row r="6" spans="2:10" ht="15">
      <c r="B6" s="72" t="s">
        <v>340</v>
      </c>
      <c r="C6" s="73">
        <v>1106</v>
      </c>
      <c r="D6" s="73"/>
      <c r="E6" s="73"/>
      <c r="F6" s="73"/>
      <c r="G6" s="73"/>
      <c r="H6" s="73"/>
      <c r="J6" s="94"/>
    </row>
    <row r="7" spans="2:10" ht="15">
      <c r="B7" s="72" t="s">
        <v>131</v>
      </c>
      <c r="C7" s="73">
        <v>194</v>
      </c>
      <c r="D7" s="90"/>
      <c r="E7" s="47"/>
      <c r="J7" s="94">
        <f>C7*C17</f>
        <v>931200000</v>
      </c>
    </row>
    <row r="8" spans="2:10" ht="15">
      <c r="B8" s="72" t="s">
        <v>126</v>
      </c>
      <c r="C8" s="79">
        <f>D8+E8</f>
        <v>0</v>
      </c>
      <c r="D8" s="79"/>
      <c r="E8" s="79"/>
    </row>
    <row r="9" spans="2:10" ht="15">
      <c r="B9" s="72"/>
      <c r="C9" s="73"/>
      <c r="D9" s="73"/>
      <c r="E9" s="73"/>
      <c r="J9" s="94">
        <f>SUM(J2:J7)</f>
        <v>47731500000</v>
      </c>
    </row>
    <row r="10" spans="2:10">
      <c r="B10" t="s">
        <v>0</v>
      </c>
      <c r="C10" s="2">
        <v>0.17</v>
      </c>
      <c r="D10" s="51"/>
      <c r="E10" s="51"/>
    </row>
    <row r="11" spans="2:10">
      <c r="B11" t="s">
        <v>33</v>
      </c>
      <c r="C11" s="76">
        <v>525</v>
      </c>
      <c r="D11" s="83">
        <f>C11/488-1</f>
        <v>7.5819672131147486E-2</v>
      </c>
      <c r="E11" s="51"/>
    </row>
    <row r="12" spans="2:10" ht="15">
      <c r="B12" s="367" t="s">
        <v>351</v>
      </c>
      <c r="C12" s="368">
        <v>9.5000000000000001E-2</v>
      </c>
      <c r="D12" s="83"/>
      <c r="E12" s="51"/>
    </row>
    <row r="13" spans="2:10">
      <c r="D13" s="51"/>
      <c r="E13" s="51"/>
    </row>
    <row r="14" spans="2:10">
      <c r="B14" s="50" t="s">
        <v>132</v>
      </c>
      <c r="C14" s="75">
        <v>1350000</v>
      </c>
      <c r="D14" s="83">
        <f>C14/7000-1</f>
        <v>191.85714285714286</v>
      </c>
      <c r="E14" s="75" t="s">
        <v>162</v>
      </c>
    </row>
    <row r="15" spans="2:10">
      <c r="B15" s="50" t="s">
        <v>133</v>
      </c>
      <c r="C15" s="75">
        <v>1550000</v>
      </c>
      <c r="D15" s="83">
        <f>C15/8000-1</f>
        <v>192.75</v>
      </c>
      <c r="E15" s="75" t="s">
        <v>162</v>
      </c>
    </row>
    <row r="16" spans="2:10">
      <c r="B16" s="50" t="s">
        <v>184</v>
      </c>
      <c r="C16" s="75">
        <v>1550000</v>
      </c>
      <c r="D16" s="83"/>
      <c r="E16" s="75"/>
    </row>
    <row r="17" spans="2:5">
      <c r="B17" s="50" t="s">
        <v>134</v>
      </c>
      <c r="C17" s="75">
        <v>4800000</v>
      </c>
      <c r="D17" s="83">
        <f>C17/350000-1</f>
        <v>12.714285714285714</v>
      </c>
      <c r="E17" s="75" t="s">
        <v>161</v>
      </c>
    </row>
    <row r="18" spans="2:5">
      <c r="B18" s="50" t="s">
        <v>338</v>
      </c>
      <c r="C18" s="75">
        <v>350000</v>
      </c>
      <c r="D18" s="83">
        <f>C18/350000-1</f>
        <v>0</v>
      </c>
      <c r="E18" s="75" t="s">
        <v>162</v>
      </c>
    </row>
    <row r="19" spans="2:5">
      <c r="B19" s="88"/>
      <c r="C19" s="77"/>
      <c r="D19" s="75"/>
      <c r="E19" s="75"/>
    </row>
    <row r="20" spans="2:5">
      <c r="B20" s="50"/>
      <c r="C20" s="75"/>
      <c r="D20" s="75"/>
      <c r="E20" s="75"/>
    </row>
    <row r="21" spans="2:5" ht="15">
      <c r="B21" s="50" t="s">
        <v>124</v>
      </c>
      <c r="C21" s="80">
        <f>'Cash Flow'!C46</f>
        <v>1.4</v>
      </c>
      <c r="D21" s="75"/>
      <c r="E21" s="75"/>
    </row>
    <row r="22" spans="2:5">
      <c r="B22" s="50"/>
      <c r="C22" s="75"/>
      <c r="D22" s="75"/>
      <c r="E22" s="75"/>
    </row>
    <row r="23" spans="2:5">
      <c r="B23" s="50"/>
      <c r="C23" s="75"/>
      <c r="D23" s="75"/>
      <c r="E23" s="75"/>
    </row>
    <row r="24" spans="2:5">
      <c r="B24" s="50"/>
      <c r="C24" s="75"/>
      <c r="D24" s="75"/>
      <c r="E24" s="75"/>
    </row>
    <row r="25" spans="2:5">
      <c r="B25" s="50"/>
    </row>
    <row r="26" spans="2:5">
      <c r="B26" s="50"/>
    </row>
    <row r="27" spans="2:5">
      <c r="B27" s="50"/>
    </row>
    <row r="28" spans="2:5">
      <c r="B28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7"/>
  <sheetViews>
    <sheetView zoomScale="110" zoomScaleNormal="110" workbookViewId="0">
      <pane xSplit="3" ySplit="4" topLeftCell="D23" activePane="bottomRight" state="frozen"/>
      <selection pane="topRight" activeCell="D1" sqref="D1"/>
      <selection pane="bottomLeft" activeCell="A4" sqref="A4"/>
      <selection pane="bottomRight" activeCell="C45" sqref="C45"/>
    </sheetView>
  </sheetViews>
  <sheetFormatPr defaultColWidth="8.875" defaultRowHeight="15" outlineLevelCol="1"/>
  <cols>
    <col min="1" max="1" width="5.375" style="3" bestFit="1" customWidth="1"/>
    <col min="2" max="2" width="25.5" style="3" customWidth="1"/>
    <col min="3" max="3" width="14.125" style="3" bestFit="1" customWidth="1"/>
    <col min="4" max="8" width="12" style="3" bestFit="1" customWidth="1" outlineLevel="1"/>
    <col min="9" max="10" width="13.125" style="3" bestFit="1" customWidth="1" outlineLevel="1"/>
    <col min="11" max="27" width="13.125" style="3" customWidth="1" outlineLevel="1"/>
    <col min="28" max="29" width="14.125" style="3" bestFit="1" customWidth="1"/>
    <col min="30" max="30" width="8.875" style="3"/>
    <col min="32" max="32" width="12.375" style="3" bestFit="1" customWidth="1"/>
    <col min="33" max="16384" width="8.875" style="3"/>
  </cols>
  <sheetData>
    <row r="1" spans="2:29" ht="19.5" customHeight="1"/>
    <row r="2" spans="2:29" ht="19.5" customHeight="1" thickBot="1"/>
    <row r="3" spans="2:29" s="8" customFormat="1">
      <c r="B3" s="378"/>
      <c r="C3" s="408" t="s">
        <v>94</v>
      </c>
      <c r="D3" s="99">
        <v>45658</v>
      </c>
      <c r="E3" s="99">
        <v>45689</v>
      </c>
      <c r="F3" s="99">
        <v>45717</v>
      </c>
      <c r="G3" s="99">
        <v>45748</v>
      </c>
      <c r="H3" s="99">
        <v>45778</v>
      </c>
      <c r="I3" s="99">
        <v>45809</v>
      </c>
      <c r="J3" s="99">
        <v>45839</v>
      </c>
      <c r="K3" s="99">
        <v>45870</v>
      </c>
      <c r="L3" s="99">
        <v>45901</v>
      </c>
      <c r="M3" s="99">
        <v>45931</v>
      </c>
      <c r="N3" s="99">
        <v>45962</v>
      </c>
      <c r="O3" s="99">
        <v>45992</v>
      </c>
      <c r="P3" s="99">
        <v>46023</v>
      </c>
      <c r="Q3" s="99">
        <v>46054</v>
      </c>
      <c r="R3" s="99">
        <v>46082</v>
      </c>
      <c r="S3" s="99">
        <v>46113</v>
      </c>
      <c r="T3" s="99">
        <v>46143</v>
      </c>
      <c r="U3" s="99">
        <v>46174</v>
      </c>
      <c r="V3" s="99">
        <v>46204</v>
      </c>
      <c r="W3" s="99">
        <v>46235</v>
      </c>
      <c r="X3" s="99">
        <v>46266</v>
      </c>
      <c r="Y3" s="99">
        <v>46296</v>
      </c>
      <c r="Z3" s="99">
        <v>46327</v>
      </c>
      <c r="AA3" s="99">
        <v>46357</v>
      </c>
      <c r="AB3" s="379" t="s">
        <v>201</v>
      </c>
      <c r="AC3" s="380" t="s">
        <v>200</v>
      </c>
    </row>
    <row r="4" spans="2:29">
      <c r="B4" s="370" t="s">
        <v>62</v>
      </c>
      <c r="C4" s="409">
        <f>AB4+AC4</f>
        <v>-27422105870</v>
      </c>
      <c r="D4" s="371">
        <f t="shared" ref="D4:AA4" si="0">D5+D6+D7</f>
        <v>-1777744000</v>
      </c>
      <c r="E4" s="371">
        <f t="shared" si="0"/>
        <v>-225716200</v>
      </c>
      <c r="F4" s="371">
        <f t="shared" si="0"/>
        <v>-185975000</v>
      </c>
      <c r="G4" s="371">
        <f t="shared" si="0"/>
        <v>-744419630</v>
      </c>
      <c r="H4" s="371">
        <f t="shared" si="0"/>
        <v>-653575600</v>
      </c>
      <c r="I4" s="371">
        <f t="shared" si="0"/>
        <v>-2328295440</v>
      </c>
      <c r="J4" s="371">
        <f t="shared" si="0"/>
        <v>-1635025000</v>
      </c>
      <c r="K4" s="371">
        <f t="shared" si="0"/>
        <v>-1306445000</v>
      </c>
      <c r="L4" s="371">
        <f t="shared" si="0"/>
        <v>-1394225000</v>
      </c>
      <c r="M4" s="371">
        <f t="shared" si="0"/>
        <v>-792253000</v>
      </c>
      <c r="N4" s="371">
        <f t="shared" si="0"/>
        <v>-827773000</v>
      </c>
      <c r="O4" s="371">
        <f t="shared" si="0"/>
        <v>-12499404500</v>
      </c>
      <c r="P4" s="371">
        <f t="shared" si="0"/>
        <v>-760998800</v>
      </c>
      <c r="Q4" s="371">
        <f t="shared" si="0"/>
        <v>-479975000</v>
      </c>
      <c r="R4" s="371">
        <f t="shared" si="0"/>
        <v>-714975000</v>
      </c>
      <c r="S4" s="371">
        <f t="shared" si="0"/>
        <v>-694975000</v>
      </c>
      <c r="T4" s="371">
        <f t="shared" si="0"/>
        <v>-370000000</v>
      </c>
      <c r="U4" s="371">
        <f t="shared" si="0"/>
        <v>-30330700</v>
      </c>
      <c r="V4" s="371">
        <f t="shared" si="0"/>
        <v>0</v>
      </c>
      <c r="W4" s="371">
        <f t="shared" si="0"/>
        <v>0</v>
      </c>
      <c r="X4" s="371">
        <f t="shared" si="0"/>
        <v>0</v>
      </c>
      <c r="Y4" s="371">
        <f t="shared" si="0"/>
        <v>0</v>
      </c>
      <c r="Z4" s="371">
        <f t="shared" si="0"/>
        <v>0</v>
      </c>
      <c r="AA4" s="371">
        <f t="shared" si="0"/>
        <v>0</v>
      </c>
      <c r="AB4" s="381">
        <f>SUM(D4:O4)</f>
        <v>-24370851370</v>
      </c>
      <c r="AC4" s="382">
        <f>SUM(P4:AA4)</f>
        <v>-3051254500</v>
      </c>
    </row>
    <row r="5" spans="2:29">
      <c r="B5" s="372" t="s">
        <v>349</v>
      </c>
      <c r="C5" s="409">
        <f>AB5+AC5</f>
        <v>-8042210270</v>
      </c>
      <c r="D5" s="371">
        <f>-'МЖК '!C47</f>
        <v>-241744000</v>
      </c>
      <c r="E5" s="371">
        <f>-'МЖК '!D47</f>
        <v>-210716200</v>
      </c>
      <c r="F5" s="371">
        <f>-'МЖК '!E47</f>
        <v>-180975000</v>
      </c>
      <c r="G5" s="371">
        <f>-'МЖК '!F47</f>
        <v>-726419630</v>
      </c>
      <c r="H5" s="371">
        <f>-'МЖК '!G47</f>
        <v>-653575600</v>
      </c>
      <c r="I5" s="371">
        <f>-'МЖК '!H47</f>
        <v>-1001514540</v>
      </c>
      <c r="J5" s="371">
        <f>-'МЖК '!I47</f>
        <v>-1159025000</v>
      </c>
      <c r="K5" s="371">
        <f>-'МЖК '!J47</f>
        <v>-1114445000</v>
      </c>
      <c r="L5" s="371">
        <f>-'МЖК '!K47</f>
        <v>-998297000</v>
      </c>
      <c r="M5" s="371">
        <f>-'МЖК '!L47</f>
        <v>-496325000</v>
      </c>
      <c r="N5" s="371">
        <f>-'МЖК '!M47</f>
        <v>-431845000</v>
      </c>
      <c r="O5" s="371">
        <f>-'МЖК '!N47</f>
        <v>-374404500</v>
      </c>
      <c r="P5" s="371">
        <f>-'МЖК '!O47</f>
        <v>-362998800</v>
      </c>
      <c r="Q5" s="371">
        <f>-'МЖК '!P47</f>
        <v>-29975000</v>
      </c>
      <c r="R5" s="371">
        <f>-'МЖК '!Q47</f>
        <v>-29975000</v>
      </c>
      <c r="S5" s="371">
        <f>-'МЖК '!R47</f>
        <v>-29975000</v>
      </c>
      <c r="T5" s="371">
        <f>-'МЖК '!S47</f>
        <v>0</v>
      </c>
      <c r="U5" s="371">
        <f>-'МЖК '!T47</f>
        <v>0</v>
      </c>
      <c r="V5" s="371">
        <f>-'МЖК '!U47</f>
        <v>0</v>
      </c>
      <c r="W5" s="371">
        <f>-'МЖК '!V47</f>
        <v>0</v>
      </c>
      <c r="X5" s="371">
        <f>-'МЖК '!W47</f>
        <v>0</v>
      </c>
      <c r="Y5" s="371">
        <f>-'МЖК '!X47</f>
        <v>0</v>
      </c>
      <c r="Z5" s="371">
        <f>-'МЖК '!Y47</f>
        <v>0</v>
      </c>
      <c r="AA5" s="371">
        <f>-'МЖК '!Z47</f>
        <v>0</v>
      </c>
      <c r="AB5" s="381">
        <f t="shared" ref="AB5:AB39" si="1">SUM(D5:O5)</f>
        <v>-7589286470</v>
      </c>
      <c r="AC5" s="383">
        <f t="shared" ref="AC5:AC39" si="2">SUM(P5:AA5)</f>
        <v>-452923800</v>
      </c>
    </row>
    <row r="6" spans="2:29">
      <c r="B6" s="372" t="s">
        <v>350</v>
      </c>
      <c r="C6" s="409">
        <f>AB6+AC6</f>
        <v>-6379895600</v>
      </c>
      <c r="D6" s="371">
        <f>-БЦ!C21</f>
        <v>-36000000</v>
      </c>
      <c r="E6" s="371">
        <f>-БЦ!D21</f>
        <v>-15000000</v>
      </c>
      <c r="F6" s="371">
        <f>-БЦ!E21</f>
        <v>-5000000</v>
      </c>
      <c r="G6" s="371">
        <f>-БЦ!F21</f>
        <v>-18000000</v>
      </c>
      <c r="H6" s="371">
        <f>-БЦ!G21</f>
        <v>0</v>
      </c>
      <c r="I6" s="371">
        <f>-БЦ!H21</f>
        <v>-1326780900</v>
      </c>
      <c r="J6" s="371">
        <f>-БЦ!I21</f>
        <v>-476000000</v>
      </c>
      <c r="K6" s="371">
        <f>-БЦ!J21</f>
        <v>-192000000</v>
      </c>
      <c r="L6" s="371">
        <f>-БЦ!K21</f>
        <v>-395928000</v>
      </c>
      <c r="M6" s="371">
        <f>-БЦ!L21</f>
        <v>-295928000</v>
      </c>
      <c r="N6" s="371">
        <f>-БЦ!M21</f>
        <v>-395928000</v>
      </c>
      <c r="O6" s="371">
        <f>-БЦ!N21</f>
        <v>-625000000</v>
      </c>
      <c r="P6" s="371">
        <f>-БЦ!O21</f>
        <v>-398000000</v>
      </c>
      <c r="Q6" s="371">
        <f>-БЦ!P21</f>
        <v>-450000000</v>
      </c>
      <c r="R6" s="371">
        <f>-БЦ!Q21</f>
        <v>-685000000</v>
      </c>
      <c r="S6" s="371">
        <f>-БЦ!R21</f>
        <v>-665000000</v>
      </c>
      <c r="T6" s="371">
        <f>-БЦ!S21</f>
        <v>-370000000</v>
      </c>
      <c r="U6" s="371">
        <f>-БЦ!T21</f>
        <v>-30330700</v>
      </c>
      <c r="V6" s="371">
        <f>-БЦ!U21</f>
        <v>0</v>
      </c>
      <c r="W6" s="371">
        <f>-БЦ!V21</f>
        <v>0</v>
      </c>
      <c r="X6" s="371">
        <f>-БЦ!W21</f>
        <v>0</v>
      </c>
      <c r="Y6" s="371">
        <f>-БЦ!X21</f>
        <v>0</v>
      </c>
      <c r="Z6" s="371">
        <f>-БЦ!Y21</f>
        <v>0</v>
      </c>
      <c r="AA6" s="371">
        <f>-БЦ!Z21</f>
        <v>0</v>
      </c>
      <c r="AB6" s="381">
        <f t="shared" si="1"/>
        <v>-3781564900</v>
      </c>
      <c r="AC6" s="383">
        <f t="shared" si="2"/>
        <v>-2598330700</v>
      </c>
    </row>
    <row r="7" spans="2:29">
      <c r="B7" s="372" t="s">
        <v>352</v>
      </c>
      <c r="C7" s="409"/>
      <c r="D7" s="371">
        <v>-1500000000</v>
      </c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>
        <v>-11500000000</v>
      </c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81">
        <f t="shared" ref="AB7" si="3">SUM(D7:O7)</f>
        <v>-13000000000</v>
      </c>
      <c r="AC7" s="383">
        <f t="shared" ref="AC7" si="4">SUM(P7:AA7)</f>
        <v>0</v>
      </c>
    </row>
    <row r="8" spans="2:29">
      <c r="B8" s="10"/>
      <c r="C8" s="410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384">
        <f t="shared" si="1"/>
        <v>0</v>
      </c>
      <c r="AC8" s="385">
        <f t="shared" si="2"/>
        <v>0</v>
      </c>
    </row>
    <row r="9" spans="2:29">
      <c r="B9" s="373" t="s">
        <v>347</v>
      </c>
      <c r="C9" s="419">
        <f>AB9+AC9</f>
        <v>50932189277.835175</v>
      </c>
      <c r="D9" s="420"/>
      <c r="E9" s="420"/>
      <c r="F9" s="420"/>
      <c r="G9" s="420"/>
      <c r="H9" s="420"/>
      <c r="I9" s="421">
        <f>((I16*I21)+(I17*I22)+(I18*I23)+(I19*I25))</f>
        <v>1928750000</v>
      </c>
      <c r="J9" s="421">
        <f t="shared" ref="J9" si="5">((J16*J21)+(J17*J22)+(J18*J23)+(J20*J25))</f>
        <v>1903702604.1666665</v>
      </c>
      <c r="K9" s="421">
        <f t="shared" ref="K9:AA9" si="6">((K16*K21)+(K17*K22)+(K18*K23)+(K20*K25))</f>
        <v>2439166312.6736107</v>
      </c>
      <c r="L9" s="421">
        <f t="shared" si="6"/>
        <v>3231652353.5018725</v>
      </c>
      <c r="M9" s="421">
        <f t="shared" si="6"/>
        <v>3305897175.4271407</v>
      </c>
      <c r="N9" s="421">
        <f t="shared" si="6"/>
        <v>3322082796.911819</v>
      </c>
      <c r="O9" s="421">
        <f t="shared" si="6"/>
        <v>2974190783.1482916</v>
      </c>
      <c r="P9" s="421">
        <f t="shared" si="6"/>
        <v>2191700156.3114591</v>
      </c>
      <c r="Q9" s="421">
        <f t="shared" si="6"/>
        <v>2496632505.124403</v>
      </c>
      <c r="R9" s="421">
        <f t="shared" si="6"/>
        <v>5188996321.0149994</v>
      </c>
      <c r="S9" s="421">
        <f t="shared" si="6"/>
        <v>5291427960.0735865</v>
      </c>
      <c r="T9" s="421">
        <f t="shared" si="6"/>
        <v>5267390841.7183113</v>
      </c>
      <c r="U9" s="421">
        <f t="shared" si="6"/>
        <v>3182431680.672925</v>
      </c>
      <c r="V9" s="421">
        <f t="shared" si="6"/>
        <v>2908479442.0654068</v>
      </c>
      <c r="W9" s="421">
        <f t="shared" si="6"/>
        <v>2718099477.0115166</v>
      </c>
      <c r="X9" s="421">
        <f t="shared" si="6"/>
        <v>2581588868.0131593</v>
      </c>
      <c r="Y9" s="421">
        <f t="shared" si="6"/>
        <v>0</v>
      </c>
      <c r="Z9" s="421">
        <f t="shared" si="6"/>
        <v>0</v>
      </c>
      <c r="AA9" s="421">
        <f t="shared" si="6"/>
        <v>0</v>
      </c>
      <c r="AB9" s="422">
        <f t="shared" si="1"/>
        <v>19105442025.829403</v>
      </c>
      <c r="AC9" s="423">
        <f t="shared" si="2"/>
        <v>31826747252.005768</v>
      </c>
    </row>
    <row r="10" spans="2:29">
      <c r="B10" s="424" t="s">
        <v>343</v>
      </c>
      <c r="C10" s="425">
        <f t="shared" ref="C10:C14" si="7">AB10+AC10</f>
        <v>29310707301.754864</v>
      </c>
      <c r="D10" s="420"/>
      <c r="E10" s="420"/>
      <c r="F10" s="420"/>
      <c r="G10" s="420"/>
      <c r="H10" s="420"/>
      <c r="I10" s="426">
        <f t="shared" ref="I10:J10" si="8">I16*I21</f>
        <v>607500000</v>
      </c>
      <c r="J10" s="426">
        <f t="shared" si="8"/>
        <v>653129999.99999988</v>
      </c>
      <c r="K10" s="426">
        <f>K16*K21</f>
        <v>1083453091.4062495</v>
      </c>
      <c r="L10" s="426">
        <f t="shared" ref="L10:AA10" si="9">L16*L21</f>
        <v>1625604789.5882804</v>
      </c>
      <c r="M10" s="426">
        <f t="shared" si="9"/>
        <v>1623148297.0898416</v>
      </c>
      <c r="N10" s="426">
        <f t="shared" si="9"/>
        <v>1635998221.1084692</v>
      </c>
      <c r="O10" s="426">
        <f t="shared" si="9"/>
        <v>1648949873.6922445</v>
      </c>
      <c r="P10" s="426">
        <f t="shared" si="9"/>
        <v>855967756.32221866</v>
      </c>
      <c r="Q10" s="426">
        <f t="shared" si="9"/>
        <v>1150325556.9685817</v>
      </c>
      <c r="R10" s="426">
        <f t="shared" si="9"/>
        <v>3127568631.8429704</v>
      </c>
      <c r="S10" s="426">
        <f t="shared" si="9"/>
        <v>3213680635.0289464</v>
      </c>
      <c r="T10" s="426">
        <f t="shared" si="9"/>
        <v>3239122273.3895922</v>
      </c>
      <c r="U10" s="426">
        <f t="shared" si="9"/>
        <v>2522773205.4659123</v>
      </c>
      <c r="V10" s="426">
        <f t="shared" si="9"/>
        <v>2243598670.5963387</v>
      </c>
      <c r="W10" s="426">
        <f t="shared" si="9"/>
        <v>2110603127.1782112</v>
      </c>
      <c r="X10" s="426">
        <f t="shared" si="9"/>
        <v>1969283172.0770071</v>
      </c>
      <c r="Y10" s="426">
        <f t="shared" si="9"/>
        <v>0</v>
      </c>
      <c r="Z10" s="426">
        <f t="shared" si="9"/>
        <v>0</v>
      </c>
      <c r="AA10" s="426">
        <f t="shared" si="9"/>
        <v>0</v>
      </c>
      <c r="AB10" s="427">
        <f t="shared" si="1"/>
        <v>8877784272.8850861</v>
      </c>
      <c r="AC10" s="423">
        <f t="shared" si="2"/>
        <v>20432923028.869778</v>
      </c>
    </row>
    <row r="11" spans="2:29">
      <c r="B11" s="424" t="s">
        <v>344</v>
      </c>
      <c r="C11" s="425">
        <f t="shared" si="7"/>
        <v>7903812972.8711596</v>
      </c>
      <c r="D11" s="420"/>
      <c r="E11" s="420"/>
      <c r="F11" s="420"/>
      <c r="G11" s="420"/>
      <c r="H11" s="420"/>
      <c r="I11" s="426">
        <f t="shared" ref="I11:J11" si="10">I17*I22</f>
        <v>193750000</v>
      </c>
      <c r="J11" s="426">
        <f t="shared" si="10"/>
        <v>210906562.5</v>
      </c>
      <c r="K11" s="426">
        <f t="shared" ref="K11:AA11" si="11">K17*K22</f>
        <v>283434985.9375</v>
      </c>
      <c r="L11" s="426">
        <f t="shared" si="11"/>
        <v>476131410.4047308</v>
      </c>
      <c r="M11" s="426">
        <f t="shared" si="11"/>
        <v>543887555.27982616</v>
      </c>
      <c r="N11" s="426">
        <f t="shared" si="11"/>
        <v>548193331.75912476</v>
      </c>
      <c r="O11" s="426">
        <f t="shared" si="11"/>
        <v>243764645.13333139</v>
      </c>
      <c r="P11" s="426">
        <f t="shared" si="11"/>
        <v>245694448.57397023</v>
      </c>
      <c r="Q11" s="426">
        <f t="shared" si="11"/>
        <v>247639529.62518081</v>
      </c>
      <c r="R11" s="426">
        <f t="shared" si="11"/>
        <v>881920032.62932086</v>
      </c>
      <c r="S11" s="426">
        <f t="shared" si="11"/>
        <v>888901899.55430293</v>
      </c>
      <c r="T11" s="426">
        <f t="shared" si="11"/>
        <v>830011449.88658226</v>
      </c>
      <c r="U11" s="426">
        <f t="shared" si="11"/>
        <v>596341814.36394668</v>
      </c>
      <c r="V11" s="426">
        <f t="shared" si="11"/>
        <v>601062853.72766125</v>
      </c>
      <c r="W11" s="426">
        <f t="shared" si="11"/>
        <v>553893730.73036659</v>
      </c>
      <c r="X11" s="426">
        <f t="shared" si="11"/>
        <v>558278722.76531529</v>
      </c>
      <c r="Y11" s="426">
        <f t="shared" si="11"/>
        <v>0</v>
      </c>
      <c r="Z11" s="426">
        <f t="shared" si="11"/>
        <v>0</v>
      </c>
      <c r="AA11" s="426">
        <f t="shared" si="11"/>
        <v>0</v>
      </c>
      <c r="AB11" s="427">
        <f t="shared" si="1"/>
        <v>2500068491.014513</v>
      </c>
      <c r="AC11" s="423">
        <f t="shared" si="2"/>
        <v>5403744481.8566465</v>
      </c>
    </row>
    <row r="12" spans="2:29">
      <c r="B12" s="424" t="s">
        <v>345</v>
      </c>
      <c r="C12" s="425">
        <f t="shared" si="7"/>
        <v>12630560963.572594</v>
      </c>
      <c r="D12" s="420"/>
      <c r="E12" s="420"/>
      <c r="F12" s="420"/>
      <c r="G12" s="420"/>
      <c r="H12" s="420"/>
      <c r="I12" s="426">
        <f t="shared" ref="I12:J13" si="12">I18*I23</f>
        <v>1007500000</v>
      </c>
      <c r="J12" s="426">
        <f t="shared" si="12"/>
        <v>1015476041.6666666</v>
      </c>
      <c r="K12" s="426">
        <f t="shared" ref="K12:AA12" si="13">K18*K23</f>
        <v>1023515226.9965277</v>
      </c>
      <c r="L12" s="426">
        <f t="shared" si="13"/>
        <v>1031618055.8769168</v>
      </c>
      <c r="M12" s="426">
        <f t="shared" si="13"/>
        <v>1039785032.1526089</v>
      </c>
      <c r="N12" s="426">
        <f t="shared" si="13"/>
        <v>1048016663.6571504</v>
      </c>
      <c r="O12" s="426">
        <f t="shared" si="13"/>
        <v>1056313462.244436</v>
      </c>
      <c r="P12" s="426">
        <f t="shared" si="13"/>
        <v>1064675943.8205377</v>
      </c>
      <c r="Q12" s="426">
        <f t="shared" si="13"/>
        <v>1073104628.3757834</v>
      </c>
      <c r="R12" s="426">
        <f t="shared" si="13"/>
        <v>1081600040.0170915</v>
      </c>
      <c r="S12" s="426">
        <f t="shared" si="13"/>
        <v>1090162707.0005603</v>
      </c>
      <c r="T12" s="426">
        <f t="shared" si="13"/>
        <v>1098793161.7643147</v>
      </c>
      <c r="U12" s="426">
        <f t="shared" si="13"/>
        <v>0</v>
      </c>
      <c r="V12" s="426">
        <f t="shared" si="13"/>
        <v>0</v>
      </c>
      <c r="W12" s="426">
        <f t="shared" si="13"/>
        <v>0</v>
      </c>
      <c r="X12" s="426">
        <f t="shared" si="13"/>
        <v>0</v>
      </c>
      <c r="Y12" s="426">
        <f t="shared" si="13"/>
        <v>0</v>
      </c>
      <c r="Z12" s="426">
        <f t="shared" si="13"/>
        <v>0</v>
      </c>
      <c r="AA12" s="426">
        <f t="shared" si="13"/>
        <v>0</v>
      </c>
      <c r="AB12" s="427">
        <f t="shared" si="1"/>
        <v>7222224482.5943069</v>
      </c>
      <c r="AC12" s="423">
        <f t="shared" si="2"/>
        <v>5408336480.9782867</v>
      </c>
    </row>
    <row r="13" spans="2:29">
      <c r="B13" s="424" t="s">
        <v>346</v>
      </c>
      <c r="C13" s="425">
        <f>AB13+AC13</f>
        <v>413643495.41875637</v>
      </c>
      <c r="D13" s="420"/>
      <c r="E13" s="420"/>
      <c r="F13" s="420"/>
      <c r="G13" s="420"/>
      <c r="H13" s="420"/>
      <c r="I13" s="426">
        <f t="shared" si="12"/>
        <v>8750000</v>
      </c>
      <c r="J13" s="426">
        <f t="shared" ref="J13" si="14">J19*J24</f>
        <v>12346979.166666666</v>
      </c>
      <c r="K13" s="426">
        <f t="shared" ref="K13:AA13" si="15">K19*K24</f>
        <v>17778180.121527776</v>
      </c>
      <c r="L13" s="426">
        <f t="shared" si="15"/>
        <v>25086493.666485816</v>
      </c>
      <c r="M13" s="426">
        <f t="shared" si="15"/>
        <v>25285095.074678823</v>
      </c>
      <c r="N13" s="426">
        <f t="shared" si="15"/>
        <v>25485268.74402003</v>
      </c>
      <c r="O13" s="426">
        <f t="shared" si="15"/>
        <v>29356602.42465926</v>
      </c>
      <c r="P13" s="426">
        <f t="shared" si="15"/>
        <v>18493130.537825711</v>
      </c>
      <c r="Q13" s="426">
        <f t="shared" si="15"/>
        <v>14911627.590333465</v>
      </c>
      <c r="R13" s="426">
        <f t="shared" si="15"/>
        <v>42083098.331186093</v>
      </c>
      <c r="S13" s="426">
        <f t="shared" si="15"/>
        <v>42416256.192974642</v>
      </c>
      <c r="T13" s="426">
        <f t="shared" si="15"/>
        <v>42752051.554502353</v>
      </c>
      <c r="U13" s="426">
        <f t="shared" si="15"/>
        <v>30778932.354268212</v>
      </c>
      <c r="V13" s="426">
        <f t="shared" si="15"/>
        <v>30247033.929521009</v>
      </c>
      <c r="W13" s="426">
        <f t="shared" si="15"/>
        <v>23841998.288494606</v>
      </c>
      <c r="X13" s="426">
        <f t="shared" si="15"/>
        <v>24030747.441611852</v>
      </c>
      <c r="Y13" s="426">
        <f t="shared" si="15"/>
        <v>0</v>
      </c>
      <c r="Z13" s="426">
        <f t="shared" si="15"/>
        <v>0</v>
      </c>
      <c r="AA13" s="426">
        <f t="shared" si="15"/>
        <v>0</v>
      </c>
      <c r="AB13" s="427">
        <f t="shared" si="1"/>
        <v>144088619.19803837</v>
      </c>
      <c r="AC13" s="423">
        <f t="shared" si="2"/>
        <v>269554876.22071797</v>
      </c>
    </row>
    <row r="14" spans="2:29">
      <c r="B14" s="424" t="s">
        <v>210</v>
      </c>
      <c r="C14" s="425">
        <f t="shared" si="7"/>
        <v>1087108039.6365504</v>
      </c>
      <c r="D14" s="420"/>
      <c r="E14" s="420"/>
      <c r="F14" s="420"/>
      <c r="G14" s="420"/>
      <c r="H14" s="420"/>
      <c r="I14" s="426">
        <f>I19*I25</f>
        <v>120000000</v>
      </c>
      <c r="J14" s="426">
        <f t="shared" ref="J14" si="16">J20*J25</f>
        <v>24190000</v>
      </c>
      <c r="K14" s="426">
        <f t="shared" ref="K14:AA14" si="17">K20*K25</f>
        <v>48763008.333333328</v>
      </c>
      <c r="L14" s="426">
        <f t="shared" si="17"/>
        <v>98298097.631944433</v>
      </c>
      <c r="M14" s="426">
        <f t="shared" si="17"/>
        <v>99076290.904863983</v>
      </c>
      <c r="N14" s="426">
        <f t="shared" si="17"/>
        <v>89874580.387074724</v>
      </c>
      <c r="O14" s="426">
        <f t="shared" si="17"/>
        <v>25162802.078279369</v>
      </c>
      <c r="P14" s="426">
        <f t="shared" si="17"/>
        <v>25362007.594732411</v>
      </c>
      <c r="Q14" s="426">
        <f t="shared" si="17"/>
        <v>25562790.154857371</v>
      </c>
      <c r="R14" s="426">
        <f t="shared" si="17"/>
        <v>97907616.525616631</v>
      </c>
      <c r="S14" s="426">
        <f t="shared" si="17"/>
        <v>98682718.489777759</v>
      </c>
      <c r="T14" s="426">
        <f t="shared" si="17"/>
        <v>99463956.67782183</v>
      </c>
      <c r="U14" s="426">
        <f t="shared" si="17"/>
        <v>63316660.843066044</v>
      </c>
      <c r="V14" s="426">
        <f t="shared" si="17"/>
        <v>63817917.741406977</v>
      </c>
      <c r="W14" s="426">
        <f t="shared" si="17"/>
        <v>53602619.102938697</v>
      </c>
      <c r="X14" s="426">
        <f t="shared" si="17"/>
        <v>54026973.170836955</v>
      </c>
      <c r="Y14" s="426">
        <f t="shared" si="17"/>
        <v>0</v>
      </c>
      <c r="Z14" s="426">
        <f t="shared" si="17"/>
        <v>0</v>
      </c>
      <c r="AA14" s="426">
        <f t="shared" si="17"/>
        <v>0</v>
      </c>
      <c r="AB14" s="427">
        <f t="shared" si="1"/>
        <v>505364779.33549583</v>
      </c>
      <c r="AC14" s="423">
        <f t="shared" si="2"/>
        <v>581743260.30105472</v>
      </c>
    </row>
    <row r="15" spans="2:29">
      <c r="B15" s="373" t="s">
        <v>348</v>
      </c>
      <c r="C15" s="419">
        <f>AB15+AC15</f>
        <v>45475168998.067108</v>
      </c>
      <c r="D15" s="420"/>
      <c r="E15" s="420"/>
      <c r="F15" s="420"/>
      <c r="G15" s="420"/>
      <c r="H15" s="420"/>
      <c r="I15" s="421">
        <f t="shared" ref="I15:J15" si="18">I9/1.12</f>
        <v>1722098214.2857141</v>
      </c>
      <c r="J15" s="421">
        <f t="shared" si="18"/>
        <v>1699734468.0059521</v>
      </c>
      <c r="K15" s="421">
        <f t="shared" ref="K15:O15" si="19">K9/1.12</f>
        <v>2177827064.8871522</v>
      </c>
      <c r="L15" s="421">
        <f t="shared" si="19"/>
        <v>2885403887.055243</v>
      </c>
      <c r="M15" s="421">
        <f t="shared" si="19"/>
        <v>2951693906.6313753</v>
      </c>
      <c r="N15" s="421">
        <f t="shared" si="19"/>
        <v>2966145354.3855524</v>
      </c>
      <c r="O15" s="421">
        <f t="shared" si="19"/>
        <v>2655527484.9538317</v>
      </c>
      <c r="P15" s="421">
        <f t="shared" ref="P15:AA15" si="20">P9/1.12</f>
        <v>1956875139.5638025</v>
      </c>
      <c r="Q15" s="421">
        <f t="shared" si="20"/>
        <v>2229136165.2896452</v>
      </c>
      <c r="R15" s="421">
        <f t="shared" si="20"/>
        <v>4633032429.4776773</v>
      </c>
      <c r="S15" s="421">
        <f t="shared" si="20"/>
        <v>4724489250.0657015</v>
      </c>
      <c r="T15" s="421">
        <f t="shared" si="20"/>
        <v>4703027537.2484922</v>
      </c>
      <c r="U15" s="421">
        <f t="shared" si="20"/>
        <v>2841456857.7436829</v>
      </c>
      <c r="V15" s="421">
        <f t="shared" si="20"/>
        <v>2596856644.7012558</v>
      </c>
      <c r="W15" s="421">
        <f t="shared" si="20"/>
        <v>2426874533.0459967</v>
      </c>
      <c r="X15" s="421">
        <f t="shared" si="20"/>
        <v>2304990060.7260346</v>
      </c>
      <c r="Y15" s="421">
        <f t="shared" si="20"/>
        <v>0</v>
      </c>
      <c r="Z15" s="421">
        <f t="shared" si="20"/>
        <v>0</v>
      </c>
      <c r="AA15" s="421">
        <f t="shared" si="20"/>
        <v>0</v>
      </c>
      <c r="AB15" s="422">
        <f t="shared" si="1"/>
        <v>17058430380.204819</v>
      </c>
      <c r="AC15" s="423">
        <f t="shared" si="2"/>
        <v>28416738617.862293</v>
      </c>
    </row>
    <row r="16" spans="2:29">
      <c r="B16" s="374" t="s">
        <v>185</v>
      </c>
      <c r="C16" s="411">
        <f t="shared" ref="C16:C20" si="21">AB16+AC16</f>
        <v>20245</v>
      </c>
      <c r="D16" s="375"/>
      <c r="E16" s="375"/>
      <c r="F16" s="375"/>
      <c r="G16" s="375"/>
      <c r="H16" s="375"/>
      <c r="I16" s="375">
        <v>450</v>
      </c>
      <c r="J16" s="375">
        <v>480</v>
      </c>
      <c r="K16" s="375">
        <v>790</v>
      </c>
      <c r="L16" s="375">
        <v>1176</v>
      </c>
      <c r="M16" s="375">
        <v>1165</v>
      </c>
      <c r="N16" s="375">
        <v>1165</v>
      </c>
      <c r="O16" s="375">
        <f>N16</f>
        <v>1165</v>
      </c>
      <c r="P16" s="375">
        <v>600</v>
      </c>
      <c r="Q16" s="375">
        <v>800</v>
      </c>
      <c r="R16" s="375">
        <v>2158</v>
      </c>
      <c r="S16" s="375">
        <v>2200</v>
      </c>
      <c r="T16" s="375">
        <v>2200</v>
      </c>
      <c r="U16" s="375">
        <v>1700</v>
      </c>
      <c r="V16" s="375">
        <v>1500</v>
      </c>
      <c r="W16" s="375">
        <v>1400</v>
      </c>
      <c r="X16" s="375">
        <v>1296</v>
      </c>
      <c r="Y16" s="375"/>
      <c r="Z16" s="375"/>
      <c r="AA16" s="375"/>
      <c r="AB16" s="386">
        <f t="shared" si="1"/>
        <v>6391</v>
      </c>
      <c r="AC16" s="387">
        <f t="shared" si="2"/>
        <v>13854</v>
      </c>
    </row>
    <row r="17" spans="2:29">
      <c r="B17" s="374" t="s">
        <v>186</v>
      </c>
      <c r="C17" s="411">
        <f t="shared" si="21"/>
        <v>4761</v>
      </c>
      <c r="D17" s="375"/>
      <c r="E17" s="375"/>
      <c r="F17" s="375"/>
      <c r="G17" s="375"/>
      <c r="H17" s="375"/>
      <c r="I17" s="375">
        <v>125</v>
      </c>
      <c r="J17" s="375">
        <v>135</v>
      </c>
      <c r="K17" s="375">
        <v>180</v>
      </c>
      <c r="L17" s="375">
        <v>300</v>
      </c>
      <c r="M17" s="375">
        <v>340</v>
      </c>
      <c r="N17" s="375">
        <v>340</v>
      </c>
      <c r="O17" s="375">
        <v>150</v>
      </c>
      <c r="P17" s="375">
        <v>150</v>
      </c>
      <c r="Q17" s="375">
        <v>150</v>
      </c>
      <c r="R17" s="375">
        <v>530</v>
      </c>
      <c r="S17" s="375">
        <v>530</v>
      </c>
      <c r="T17" s="375">
        <v>491</v>
      </c>
      <c r="U17" s="375">
        <v>350</v>
      </c>
      <c r="V17" s="375">
        <v>350</v>
      </c>
      <c r="W17" s="375">
        <v>320</v>
      </c>
      <c r="X17" s="375">
        <v>320</v>
      </c>
      <c r="Y17" s="375"/>
      <c r="Z17" s="375"/>
      <c r="AA17" s="375"/>
      <c r="AB17" s="386">
        <f t="shared" si="1"/>
        <v>1570</v>
      </c>
      <c r="AC17" s="387">
        <f t="shared" si="2"/>
        <v>3191</v>
      </c>
    </row>
    <row r="18" spans="2:29">
      <c r="B18" s="374" t="s">
        <v>187</v>
      </c>
      <c r="C18" s="411">
        <f t="shared" si="21"/>
        <v>7800</v>
      </c>
      <c r="D18" s="375"/>
      <c r="E18" s="375"/>
      <c r="F18" s="375"/>
      <c r="G18" s="375"/>
      <c r="H18" s="375"/>
      <c r="I18" s="375">
        <v>650</v>
      </c>
      <c r="J18" s="375">
        <v>650</v>
      </c>
      <c r="K18" s="375">
        <v>650</v>
      </c>
      <c r="L18" s="375">
        <v>650</v>
      </c>
      <c r="M18" s="375">
        <v>650</v>
      </c>
      <c r="N18" s="375">
        <v>650</v>
      </c>
      <c r="O18" s="375">
        <v>650</v>
      </c>
      <c r="P18" s="375">
        <v>650</v>
      </c>
      <c r="Q18" s="375">
        <v>650</v>
      </c>
      <c r="R18" s="375">
        <v>650</v>
      </c>
      <c r="S18" s="375">
        <v>650</v>
      </c>
      <c r="T18" s="375">
        <v>650</v>
      </c>
      <c r="U18" s="375"/>
      <c r="V18" s="375"/>
      <c r="W18" s="375"/>
      <c r="X18" s="375"/>
      <c r="Y18" s="375"/>
      <c r="Z18" s="375"/>
      <c r="AA18" s="375"/>
      <c r="AB18" s="386">
        <f t="shared" si="1"/>
        <v>4550</v>
      </c>
      <c r="AC18" s="387">
        <f t="shared" si="2"/>
        <v>3250</v>
      </c>
    </row>
    <row r="19" spans="2:29">
      <c r="B19" s="374" t="s">
        <v>339</v>
      </c>
      <c r="C19" s="411">
        <f t="shared" si="21"/>
        <v>1106</v>
      </c>
      <c r="D19" s="375"/>
      <c r="E19" s="375"/>
      <c r="F19" s="375"/>
      <c r="G19" s="375"/>
      <c r="H19" s="375"/>
      <c r="I19" s="375">
        <v>25</v>
      </c>
      <c r="J19" s="375">
        <v>35</v>
      </c>
      <c r="K19" s="375">
        <v>50</v>
      </c>
      <c r="L19" s="375">
        <v>70</v>
      </c>
      <c r="M19" s="375">
        <v>70</v>
      </c>
      <c r="N19" s="375">
        <v>70</v>
      </c>
      <c r="O19" s="375">
        <v>80</v>
      </c>
      <c r="P19" s="375">
        <v>50</v>
      </c>
      <c r="Q19" s="375">
        <v>40</v>
      </c>
      <c r="R19" s="375">
        <v>112</v>
      </c>
      <c r="S19" s="375">
        <v>112</v>
      </c>
      <c r="T19" s="375">
        <v>112</v>
      </c>
      <c r="U19" s="375">
        <v>80</v>
      </c>
      <c r="V19" s="375">
        <v>78</v>
      </c>
      <c r="W19" s="375">
        <v>61</v>
      </c>
      <c r="X19" s="375">
        <v>61</v>
      </c>
      <c r="Y19" s="375"/>
      <c r="Z19" s="375"/>
      <c r="AA19" s="375"/>
      <c r="AB19" s="386">
        <f t="shared" si="1"/>
        <v>400</v>
      </c>
      <c r="AC19" s="387">
        <f t="shared" si="2"/>
        <v>706</v>
      </c>
    </row>
    <row r="20" spans="2:29">
      <c r="B20" s="374" t="s">
        <v>210</v>
      </c>
      <c r="C20" s="411">
        <f t="shared" si="21"/>
        <v>194</v>
      </c>
      <c r="D20" s="375"/>
      <c r="E20" s="375"/>
      <c r="F20" s="375"/>
      <c r="G20" s="375"/>
      <c r="H20" s="375"/>
      <c r="I20" s="375">
        <v>5</v>
      </c>
      <c r="J20" s="375">
        <v>5</v>
      </c>
      <c r="K20" s="375">
        <v>10</v>
      </c>
      <c r="L20" s="375">
        <v>20</v>
      </c>
      <c r="M20" s="375">
        <v>20</v>
      </c>
      <c r="N20" s="375">
        <v>18</v>
      </c>
      <c r="O20" s="375">
        <v>5</v>
      </c>
      <c r="P20" s="375">
        <v>5</v>
      </c>
      <c r="Q20" s="375">
        <v>5</v>
      </c>
      <c r="R20" s="375">
        <v>19</v>
      </c>
      <c r="S20" s="375">
        <v>19</v>
      </c>
      <c r="T20" s="375">
        <v>19</v>
      </c>
      <c r="U20" s="375">
        <v>12</v>
      </c>
      <c r="V20" s="375">
        <v>12</v>
      </c>
      <c r="W20" s="375">
        <v>10</v>
      </c>
      <c r="X20" s="375">
        <v>10</v>
      </c>
      <c r="Y20" s="375"/>
      <c r="Z20" s="375"/>
      <c r="AA20" s="375"/>
      <c r="AB20" s="386">
        <f t="shared" si="1"/>
        <v>83</v>
      </c>
      <c r="AC20" s="387">
        <f t="shared" si="2"/>
        <v>111</v>
      </c>
    </row>
    <row r="21" spans="2:29">
      <c r="B21" s="376" t="s">
        <v>180</v>
      </c>
      <c r="C21" s="412"/>
      <c r="D21" s="375"/>
      <c r="E21" s="375"/>
      <c r="F21" s="375"/>
      <c r="G21" s="375"/>
      <c r="H21" s="375"/>
      <c r="I21" s="377">
        <f>'Input data'!$C14</f>
        <v>1350000</v>
      </c>
      <c r="J21" s="377">
        <f>I21*(1+'Input data'!$C$12/12)</f>
        <v>1360687.4999999998</v>
      </c>
      <c r="K21" s="377">
        <f>J21*(1+'Input data'!$C$12/12)</f>
        <v>1371459.6093749995</v>
      </c>
      <c r="L21" s="377">
        <f>K21*(1+'Input data'!$C$12/12)</f>
        <v>1382316.9979492181</v>
      </c>
      <c r="M21" s="377">
        <f>L21*(1+'Input data'!$C$12/12)</f>
        <v>1393260.3408496494</v>
      </c>
      <c r="N21" s="377">
        <f>M21*(1+'Input data'!$C$12/12)</f>
        <v>1404290.3185480423</v>
      </c>
      <c r="O21" s="377">
        <f>N21*(1+'Input data'!$C$12/12)</f>
        <v>1415407.6169032142</v>
      </c>
      <c r="P21" s="377">
        <f>O21*(1+'Input data'!$C$12/12)</f>
        <v>1426612.9272036979</v>
      </c>
      <c r="Q21" s="377">
        <f>P21*(1+'Input data'!$C$12/12)</f>
        <v>1437906.9462107271</v>
      </c>
      <c r="R21" s="377">
        <f>Q21*(1+'Input data'!$C$12/12)</f>
        <v>1449290.3762015619</v>
      </c>
      <c r="S21" s="377">
        <f>R21*(1+'Input data'!$C$12/12)</f>
        <v>1460763.9250131575</v>
      </c>
      <c r="T21" s="377">
        <f>S21*(1+'Input data'!$C$12/12)</f>
        <v>1472328.3060861782</v>
      </c>
      <c r="U21" s="377">
        <f>T21*(1+'Input data'!$C$12/12)</f>
        <v>1483984.2385093602</v>
      </c>
      <c r="V21" s="377">
        <f>U21*(1+'Input data'!$C$12/12)</f>
        <v>1495732.4470642258</v>
      </c>
      <c r="W21" s="377">
        <f>V21*(1+'Input data'!$C$12/12)</f>
        <v>1507573.6622701508</v>
      </c>
      <c r="X21" s="377">
        <f>W21*(1+'Input data'!$C$12/12)</f>
        <v>1519508.6204297894</v>
      </c>
      <c r="Y21" s="375"/>
      <c r="Z21" s="375"/>
      <c r="AA21" s="375"/>
      <c r="AB21" s="388"/>
      <c r="AC21" s="389"/>
    </row>
    <row r="22" spans="2:29">
      <c r="B22" s="376" t="s">
        <v>183</v>
      </c>
      <c r="C22" s="412"/>
      <c r="D22" s="375"/>
      <c r="E22" s="375"/>
      <c r="F22" s="375"/>
      <c r="G22" s="375"/>
      <c r="H22" s="375"/>
      <c r="I22" s="377">
        <f>'Input data'!$C15</f>
        <v>1550000</v>
      </c>
      <c r="J22" s="377">
        <f>I22*(1+'Input data'!$C$12/12)</f>
        <v>1562270.8333333333</v>
      </c>
      <c r="K22" s="377">
        <f>J22*(1+'Input data'!$C$12/12)</f>
        <v>1574638.8107638888</v>
      </c>
      <c r="L22" s="377">
        <f>K22*(1+'Input data'!$C$12/12)</f>
        <v>1587104.7013491027</v>
      </c>
      <c r="M22" s="377">
        <f>L22*(1+'Input data'!$C$12/12)</f>
        <v>1599669.280234783</v>
      </c>
      <c r="N22" s="377">
        <f>M22*(1+'Input data'!$C$12/12)</f>
        <v>1612333.3287033082</v>
      </c>
      <c r="O22" s="377">
        <f>N22*(1+'Input data'!$C$12/12)</f>
        <v>1625097.6342222092</v>
      </c>
      <c r="P22" s="377">
        <f>O22*(1+'Input data'!$C$12/12)</f>
        <v>1637962.9904931348</v>
      </c>
      <c r="Q22" s="377">
        <f>P22*(1+'Input data'!$C$12/12)</f>
        <v>1650930.1975012054</v>
      </c>
      <c r="R22" s="377">
        <f>Q22*(1+'Input data'!$C$12/12)</f>
        <v>1664000.0615647563</v>
      </c>
      <c r="S22" s="377">
        <f>R22*(1+'Input data'!$C$12/12)</f>
        <v>1677173.3953854772</v>
      </c>
      <c r="T22" s="377">
        <f>S22*(1+'Input data'!$C$12/12)</f>
        <v>1690451.0180989455</v>
      </c>
      <c r="U22" s="377">
        <f>T22*(1+'Input data'!$C$12/12)</f>
        <v>1703833.7553255621</v>
      </c>
      <c r="V22" s="377">
        <f>U22*(1+'Input data'!$C$12/12)</f>
        <v>1717322.4392218892</v>
      </c>
      <c r="W22" s="377">
        <f>V22*(1+'Input data'!$C$12/12)</f>
        <v>1730917.9085323957</v>
      </c>
      <c r="X22" s="377">
        <f>W22*(1+'Input data'!$C$12/12)</f>
        <v>1744621.0086416104</v>
      </c>
      <c r="Y22" s="375"/>
      <c r="Z22" s="375"/>
      <c r="AA22" s="375"/>
      <c r="AB22" s="388"/>
      <c r="AC22" s="389"/>
    </row>
    <row r="23" spans="2:29">
      <c r="B23" s="376" t="s">
        <v>181</v>
      </c>
      <c r="C23" s="412"/>
      <c r="D23" s="375"/>
      <c r="E23" s="375"/>
      <c r="F23" s="375"/>
      <c r="G23" s="375"/>
      <c r="H23" s="375"/>
      <c r="I23" s="377">
        <f>'Input data'!$C16</f>
        <v>1550000</v>
      </c>
      <c r="J23" s="377">
        <f>I23*(1+'Input data'!$C$12/12)</f>
        <v>1562270.8333333333</v>
      </c>
      <c r="K23" s="377">
        <f>J23*(1+'Input data'!$C$12/12)</f>
        <v>1574638.8107638888</v>
      </c>
      <c r="L23" s="377">
        <f>K23*(1+'Input data'!$C$12/12)</f>
        <v>1587104.7013491027</v>
      </c>
      <c r="M23" s="377">
        <f>L23*(1+'Input data'!$C$12/12)</f>
        <v>1599669.280234783</v>
      </c>
      <c r="N23" s="377">
        <f>M23*(1+'Input data'!$C$12/12)</f>
        <v>1612333.3287033082</v>
      </c>
      <c r="O23" s="377">
        <f>N23*(1+'Input data'!$C$12/12)</f>
        <v>1625097.6342222092</v>
      </c>
      <c r="P23" s="377">
        <f>O23*(1+'Input data'!$C$12/12)</f>
        <v>1637962.9904931348</v>
      </c>
      <c r="Q23" s="377">
        <f>P23*(1+'Input data'!$C$12/12)</f>
        <v>1650930.1975012054</v>
      </c>
      <c r="R23" s="377">
        <f>Q23*(1+'Input data'!$C$12/12)</f>
        <v>1664000.0615647563</v>
      </c>
      <c r="S23" s="377">
        <f>R23*(1+'Input data'!$C$12/12)</f>
        <v>1677173.3953854772</v>
      </c>
      <c r="T23" s="377">
        <f>S23*(1+'Input data'!$C$12/12)</f>
        <v>1690451.0180989455</v>
      </c>
      <c r="U23" s="377">
        <f>T23*(1+'Input data'!$C$12/12)</f>
        <v>1703833.7553255621</v>
      </c>
      <c r="V23" s="377">
        <f>U23*(1+'Input data'!$C$12/12)</f>
        <v>1717322.4392218892</v>
      </c>
      <c r="W23" s="377">
        <f>V23*(1+'Input data'!$C$12/12)</f>
        <v>1730917.9085323957</v>
      </c>
      <c r="X23" s="377">
        <f>W23*(1+'Input data'!$C$12/12)</f>
        <v>1744621.0086416104</v>
      </c>
      <c r="Y23" s="375"/>
      <c r="Z23" s="375"/>
      <c r="AA23" s="375"/>
      <c r="AB23" s="388"/>
      <c r="AC23" s="389"/>
    </row>
    <row r="24" spans="2:29">
      <c r="B24" s="376" t="s">
        <v>341</v>
      </c>
      <c r="C24" s="412"/>
      <c r="D24" s="375"/>
      <c r="E24" s="375"/>
      <c r="F24" s="375"/>
      <c r="G24" s="375"/>
      <c r="H24" s="375"/>
      <c r="I24" s="377">
        <f>'Input data'!$C18</f>
        <v>350000</v>
      </c>
      <c r="J24" s="377">
        <f>I24*(1+'Input data'!$C$12/12)</f>
        <v>352770.83333333331</v>
      </c>
      <c r="K24" s="377">
        <f>J24*(1+'Input data'!$C$12/12)</f>
        <v>355563.6024305555</v>
      </c>
      <c r="L24" s="377">
        <f>K24*(1+'Input data'!$C$12/12)</f>
        <v>358378.48094979738</v>
      </c>
      <c r="M24" s="377">
        <f>L24*(1+'Input data'!$C$12/12)</f>
        <v>361215.64392398321</v>
      </c>
      <c r="N24" s="377">
        <f>M24*(1+'Input data'!$C$12/12)</f>
        <v>364075.26777171472</v>
      </c>
      <c r="O24" s="377">
        <f>N24*(1+'Input data'!$C$12/12)</f>
        <v>366957.53030824073</v>
      </c>
      <c r="P24" s="377">
        <f>O24*(1+'Input data'!$C$12/12)</f>
        <v>369862.61075651424</v>
      </c>
      <c r="Q24" s="377">
        <f>P24*(1+'Input data'!$C$12/12)</f>
        <v>372790.68975833664</v>
      </c>
      <c r="R24" s="377">
        <f>Q24*(1+'Input data'!$C$12/12)</f>
        <v>375741.94938559009</v>
      </c>
      <c r="S24" s="377">
        <f>R24*(1+'Input data'!$C$12/12)</f>
        <v>378716.57315155934</v>
      </c>
      <c r="T24" s="377">
        <f>S24*(1+'Input data'!$C$12/12)</f>
        <v>381714.74602234247</v>
      </c>
      <c r="U24" s="377">
        <f>T24*(1+'Input data'!$C$12/12)</f>
        <v>384736.65442835266</v>
      </c>
      <c r="V24" s="377">
        <f>U24*(1+'Input data'!$C$12/12)</f>
        <v>387782.4862759104</v>
      </c>
      <c r="W24" s="377">
        <f>V24*(1+'Input data'!$C$12/12)</f>
        <v>390852.43095892796</v>
      </c>
      <c r="X24" s="377">
        <f>W24*(1+'Input data'!$C$12/12)</f>
        <v>393946.67937068612</v>
      </c>
      <c r="Y24" s="375"/>
      <c r="Z24" s="375"/>
      <c r="AA24" s="375"/>
      <c r="AB24" s="388"/>
      <c r="AC24" s="389"/>
    </row>
    <row r="25" spans="2:29">
      <c r="B25" s="376" t="s">
        <v>182</v>
      </c>
      <c r="C25" s="412"/>
      <c r="D25" s="375"/>
      <c r="E25" s="375"/>
      <c r="F25" s="375"/>
      <c r="G25" s="375"/>
      <c r="H25" s="375"/>
      <c r="I25" s="377">
        <f>'Input data'!$C17</f>
        <v>4800000</v>
      </c>
      <c r="J25" s="377">
        <f>I25*(1+'Input data'!$C$12/12)</f>
        <v>4838000</v>
      </c>
      <c r="K25" s="377">
        <f>J25*(1+'Input data'!$C$12/12)</f>
        <v>4876300.833333333</v>
      </c>
      <c r="L25" s="377">
        <f>K25*(1+'Input data'!$C$12/12)</f>
        <v>4914904.8815972218</v>
      </c>
      <c r="M25" s="377">
        <f>L25*(1+'Input data'!$C$12/12)</f>
        <v>4953814.545243199</v>
      </c>
      <c r="N25" s="377">
        <f>M25*(1+'Input data'!$C$12/12)</f>
        <v>4993032.2437263737</v>
      </c>
      <c r="O25" s="377">
        <f>N25*(1+'Input data'!$C$12/12)</f>
        <v>5032560.4156558737</v>
      </c>
      <c r="P25" s="377">
        <f>O25*(1+'Input data'!$C$12/12)</f>
        <v>5072401.5189464819</v>
      </c>
      <c r="Q25" s="377">
        <f>P25*(1+'Input data'!$C$12/12)</f>
        <v>5112558.030971474</v>
      </c>
      <c r="R25" s="377">
        <f>Q25*(1+'Input data'!$C$12/12)</f>
        <v>5153032.4487166647</v>
      </c>
      <c r="S25" s="377">
        <f>R25*(1+'Input data'!$C$12/12)</f>
        <v>5193827.2889356716</v>
      </c>
      <c r="T25" s="377">
        <f>S25*(1+'Input data'!$C$12/12)</f>
        <v>5234945.0883064121</v>
      </c>
      <c r="U25" s="377">
        <f>T25*(1+'Input data'!$C$12/12)</f>
        <v>5276388.403588837</v>
      </c>
      <c r="V25" s="377">
        <f>U25*(1+'Input data'!$C$12/12)</f>
        <v>5318159.8117839145</v>
      </c>
      <c r="W25" s="377">
        <f>V25*(1+'Input data'!$C$12/12)</f>
        <v>5360261.9102938697</v>
      </c>
      <c r="X25" s="377">
        <f>W25*(1+'Input data'!$C$12/12)</f>
        <v>5402697.3170836959</v>
      </c>
      <c r="Y25" s="375"/>
      <c r="Z25" s="375"/>
      <c r="AA25" s="375"/>
      <c r="AB25" s="388"/>
      <c r="AC25" s="389"/>
    </row>
    <row r="26" spans="2:29">
      <c r="B26" s="35"/>
      <c r="C26" s="410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390">
        <f t="shared" si="1"/>
        <v>0</v>
      </c>
      <c r="AC26" s="391">
        <f t="shared" si="2"/>
        <v>0</v>
      </c>
    </row>
    <row r="27" spans="2:29" s="8" customFormat="1">
      <c r="B27" s="11" t="s">
        <v>63</v>
      </c>
      <c r="C27" s="413">
        <f t="shared" ref="C27:C37" si="22">AB27+AC27</f>
        <v>-395518400</v>
      </c>
      <c r="D27" s="84">
        <f>-'МЖК '!C53+БЦ!C26</f>
        <v>0</v>
      </c>
      <c r="E27" s="84">
        <f>-'МЖК '!D53+БЦ!D26</f>
        <v>-1100000</v>
      </c>
      <c r="F27" s="84">
        <f>-'МЖК '!E53+БЦ!E26</f>
        <v>-37038560</v>
      </c>
      <c r="G27" s="84">
        <f>-'МЖК '!F53+БЦ!F26</f>
        <v>-20538560</v>
      </c>
      <c r="H27" s="84">
        <f>-'МЖК '!G53+БЦ!G26</f>
        <v>-20538560</v>
      </c>
      <c r="I27" s="84">
        <f>-'МЖК '!H53+БЦ!H26</f>
        <v>-40718560</v>
      </c>
      <c r="J27" s="84">
        <f>-'МЖК '!I53+БЦ!I26</f>
        <v>-18718560</v>
      </c>
      <c r="K27" s="84">
        <f>-'МЖК '!J53+БЦ!J26</f>
        <v>-18718560</v>
      </c>
      <c r="L27" s="84">
        <f>-'МЖК '!K53+БЦ!K26</f>
        <v>-51718560</v>
      </c>
      <c r="M27" s="84">
        <f>-'МЖК '!L53+БЦ!L26</f>
        <v>-18718560</v>
      </c>
      <c r="N27" s="84">
        <f>-'МЖК '!M53+БЦ!M26</f>
        <v>-18718560</v>
      </c>
      <c r="O27" s="84">
        <f>-'МЖК '!N53+БЦ!N26</f>
        <v>-35218560</v>
      </c>
      <c r="P27" s="84">
        <f>-'МЖК '!O53+БЦ!O26</f>
        <v>-18718560</v>
      </c>
      <c r="Q27" s="84">
        <f>-'МЖК '!P53+БЦ!P26</f>
        <v>-18718560</v>
      </c>
      <c r="R27" s="84">
        <f>-'МЖК '!Q53+БЦ!Q26</f>
        <v>-40718560</v>
      </c>
      <c r="S27" s="84">
        <f>-'МЖК '!R53+БЦ!R26</f>
        <v>-18718560</v>
      </c>
      <c r="T27" s="84">
        <f>-'МЖК '!S53+БЦ!S26</f>
        <v>-18718560</v>
      </c>
      <c r="U27" s="84">
        <f>-'МЖК '!T53+БЦ!T26</f>
        <v>1820000</v>
      </c>
      <c r="V27" s="84">
        <f>-'МЖК '!U53+БЦ!U26</f>
        <v>0</v>
      </c>
      <c r="W27" s="84">
        <f>-'МЖК '!V53+БЦ!V26</f>
        <v>0</v>
      </c>
      <c r="X27" s="84">
        <f>-'МЖК '!W53+БЦ!W26</f>
        <v>0</v>
      </c>
      <c r="Y27" s="84">
        <f>-'МЖК '!X53+БЦ!X26</f>
        <v>0</v>
      </c>
      <c r="Z27" s="84">
        <f>-'МЖК '!Y53+БЦ!Y26</f>
        <v>0</v>
      </c>
      <c r="AA27" s="84">
        <f>-'МЖК '!Z53+БЦ!Z26</f>
        <v>0</v>
      </c>
      <c r="AB27" s="392">
        <f t="shared" si="1"/>
        <v>-281745600</v>
      </c>
      <c r="AC27" s="393">
        <f t="shared" si="2"/>
        <v>-113772800</v>
      </c>
    </row>
    <row r="28" spans="2:29" s="8" customFormat="1">
      <c r="B28" s="11" t="s">
        <v>196</v>
      </c>
      <c r="C28" s="413">
        <f>AB28+AC28</f>
        <v>-27422105870</v>
      </c>
      <c r="D28" s="133">
        <f t="shared" ref="D28:AA28" si="23">D4</f>
        <v>-1777744000</v>
      </c>
      <c r="E28" s="133">
        <f t="shared" si="23"/>
        <v>-225716200</v>
      </c>
      <c r="F28" s="133">
        <f t="shared" si="23"/>
        <v>-185975000</v>
      </c>
      <c r="G28" s="133">
        <f t="shared" si="23"/>
        <v>-744419630</v>
      </c>
      <c r="H28" s="133">
        <f t="shared" si="23"/>
        <v>-653575600</v>
      </c>
      <c r="I28" s="133">
        <f t="shared" si="23"/>
        <v>-2328295440</v>
      </c>
      <c r="J28" s="133">
        <f t="shared" si="23"/>
        <v>-1635025000</v>
      </c>
      <c r="K28" s="133">
        <f t="shared" si="23"/>
        <v>-1306445000</v>
      </c>
      <c r="L28" s="133">
        <f t="shared" si="23"/>
        <v>-1394225000</v>
      </c>
      <c r="M28" s="133">
        <f t="shared" si="23"/>
        <v>-792253000</v>
      </c>
      <c r="N28" s="133">
        <f t="shared" si="23"/>
        <v>-827773000</v>
      </c>
      <c r="O28" s="133">
        <f t="shared" si="23"/>
        <v>-12499404500</v>
      </c>
      <c r="P28" s="133">
        <f t="shared" si="23"/>
        <v>-760998800</v>
      </c>
      <c r="Q28" s="133">
        <f t="shared" si="23"/>
        <v>-479975000</v>
      </c>
      <c r="R28" s="133">
        <f t="shared" si="23"/>
        <v>-714975000</v>
      </c>
      <c r="S28" s="133">
        <f t="shared" si="23"/>
        <v>-694975000</v>
      </c>
      <c r="T28" s="133">
        <f t="shared" si="23"/>
        <v>-370000000</v>
      </c>
      <c r="U28" s="133">
        <f t="shared" si="23"/>
        <v>-30330700</v>
      </c>
      <c r="V28" s="133">
        <f t="shared" si="23"/>
        <v>0</v>
      </c>
      <c r="W28" s="133">
        <f t="shared" si="23"/>
        <v>0</v>
      </c>
      <c r="X28" s="133">
        <f t="shared" si="23"/>
        <v>0</v>
      </c>
      <c r="Y28" s="133">
        <f t="shared" si="23"/>
        <v>0</v>
      </c>
      <c r="Z28" s="133">
        <f t="shared" si="23"/>
        <v>0</v>
      </c>
      <c r="AA28" s="133">
        <f t="shared" si="23"/>
        <v>0</v>
      </c>
      <c r="AB28" s="394">
        <f t="shared" si="1"/>
        <v>-24370851370</v>
      </c>
      <c r="AC28" s="395">
        <f t="shared" si="2"/>
        <v>-3051254500</v>
      </c>
    </row>
    <row r="29" spans="2:29" s="8" customFormat="1">
      <c r="B29" s="96" t="s">
        <v>222</v>
      </c>
      <c r="C29" s="413">
        <f>AB29+AC29</f>
        <v>-2938082771.7857165</v>
      </c>
      <c r="D29" s="74">
        <f t="shared" ref="D29:O29" si="24">D28-(D28/1.12)</f>
        <v>-190472571.42857146</v>
      </c>
      <c r="E29" s="74">
        <f t="shared" si="24"/>
        <v>-24183878.571428597</v>
      </c>
      <c r="F29" s="74">
        <f t="shared" si="24"/>
        <v>-19925892.857142866</v>
      </c>
      <c r="G29" s="74">
        <f t="shared" si="24"/>
        <v>-79759246.071428657</v>
      </c>
      <c r="H29" s="74">
        <f t="shared" si="24"/>
        <v>-70025957.142857194</v>
      </c>
      <c r="I29" s="74">
        <f t="shared" si="24"/>
        <v>-249460225.71428585</v>
      </c>
      <c r="J29" s="74">
        <f t="shared" si="24"/>
        <v>-175181250.00000024</v>
      </c>
      <c r="K29" s="74">
        <f t="shared" si="24"/>
        <v>-139976250</v>
      </c>
      <c r="L29" s="74">
        <f t="shared" si="24"/>
        <v>-149381250</v>
      </c>
      <c r="M29" s="74">
        <f t="shared" si="24"/>
        <v>-84884250.000000119</v>
      </c>
      <c r="N29" s="74">
        <f t="shared" si="24"/>
        <v>-88689964.285714388</v>
      </c>
      <c r="O29" s="74">
        <f t="shared" si="24"/>
        <v>-1339221910.7142868</v>
      </c>
      <c r="P29" s="74">
        <f t="shared" ref="P29:AA29" si="25">P28-(P28/1.12)</f>
        <v>-81535585.714285731</v>
      </c>
      <c r="Q29" s="74">
        <f t="shared" si="25"/>
        <v>-51425892.857142925</v>
      </c>
      <c r="R29" s="74">
        <f t="shared" si="25"/>
        <v>-76604464.285714388</v>
      </c>
      <c r="S29" s="74">
        <f t="shared" si="25"/>
        <v>-74461607.142857194</v>
      </c>
      <c r="T29" s="74">
        <f t="shared" si="25"/>
        <v>-39642857.142857194</v>
      </c>
      <c r="U29" s="74">
        <f t="shared" si="25"/>
        <v>-3249717.8571428582</v>
      </c>
      <c r="V29" s="74">
        <f t="shared" si="25"/>
        <v>0</v>
      </c>
      <c r="W29" s="74">
        <f t="shared" si="25"/>
        <v>0</v>
      </c>
      <c r="X29" s="74">
        <f t="shared" si="25"/>
        <v>0</v>
      </c>
      <c r="Y29" s="74">
        <f t="shared" si="25"/>
        <v>0</v>
      </c>
      <c r="Z29" s="74">
        <f t="shared" si="25"/>
        <v>0</v>
      </c>
      <c r="AA29" s="74">
        <f t="shared" si="25"/>
        <v>0</v>
      </c>
      <c r="AB29" s="394">
        <f t="shared" si="1"/>
        <v>-2611162646.7857161</v>
      </c>
      <c r="AC29" s="395">
        <f t="shared" si="2"/>
        <v>-326920125.0000003</v>
      </c>
    </row>
    <row r="30" spans="2:29" s="8" customFormat="1">
      <c r="B30" s="36" t="s">
        <v>2</v>
      </c>
      <c r="C30" s="413">
        <f>AB30+AC30</f>
        <v>23114565007.835171</v>
      </c>
      <c r="D30" s="85">
        <f>SUM(D9,D27,D28)</f>
        <v>-1777744000</v>
      </c>
      <c r="E30" s="85">
        <f t="shared" ref="E30:AA30" si="26">SUM(E9,E27,E28)</f>
        <v>-226816200</v>
      </c>
      <c r="F30" s="85">
        <f t="shared" si="26"/>
        <v>-223013560</v>
      </c>
      <c r="G30" s="85">
        <f t="shared" si="26"/>
        <v>-764958190</v>
      </c>
      <c r="H30" s="85">
        <f t="shared" si="26"/>
        <v>-674114160</v>
      </c>
      <c r="I30" s="85">
        <f t="shared" si="26"/>
        <v>-440264000</v>
      </c>
      <c r="J30" s="85">
        <f t="shared" si="26"/>
        <v>249959044.16666651</v>
      </c>
      <c r="K30" s="85">
        <f t="shared" si="26"/>
        <v>1114002752.6736107</v>
      </c>
      <c r="L30" s="85">
        <f t="shared" si="26"/>
        <v>1785708793.5018725</v>
      </c>
      <c r="M30" s="85">
        <f t="shared" si="26"/>
        <v>2494925615.4271407</v>
      </c>
      <c r="N30" s="85">
        <f t="shared" si="26"/>
        <v>2475591236.911819</v>
      </c>
      <c r="O30" s="85">
        <f t="shared" si="26"/>
        <v>-9560432276.8517075</v>
      </c>
      <c r="P30" s="85">
        <f t="shared" si="26"/>
        <v>1411982796.3114591</v>
      </c>
      <c r="Q30" s="85">
        <f t="shared" si="26"/>
        <v>1997938945.124403</v>
      </c>
      <c r="R30" s="85">
        <f t="shared" si="26"/>
        <v>4433302761.0149994</v>
      </c>
      <c r="S30" s="85">
        <f t="shared" si="26"/>
        <v>4577734400.0735865</v>
      </c>
      <c r="T30" s="85">
        <f t="shared" si="26"/>
        <v>4878672281.7183113</v>
      </c>
      <c r="U30" s="85">
        <f t="shared" si="26"/>
        <v>3153920980.672925</v>
      </c>
      <c r="V30" s="85">
        <f t="shared" si="26"/>
        <v>2908479442.0654068</v>
      </c>
      <c r="W30" s="85">
        <f t="shared" si="26"/>
        <v>2718099477.0115166</v>
      </c>
      <c r="X30" s="85">
        <f t="shared" si="26"/>
        <v>2581588868.0131593</v>
      </c>
      <c r="Y30" s="85">
        <f t="shared" si="26"/>
        <v>0</v>
      </c>
      <c r="Z30" s="85">
        <f t="shared" si="26"/>
        <v>0</v>
      </c>
      <c r="AA30" s="85">
        <f t="shared" si="26"/>
        <v>0</v>
      </c>
      <c r="AB30" s="396">
        <f t="shared" si="1"/>
        <v>-5547154944.170598</v>
      </c>
      <c r="AC30" s="397">
        <f t="shared" si="2"/>
        <v>28661719952.005768</v>
      </c>
    </row>
    <row r="31" spans="2:29">
      <c r="B31" s="37" t="s">
        <v>128</v>
      </c>
      <c r="C31" s="414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398">
        <f t="shared" si="1"/>
        <v>0</v>
      </c>
      <c r="AC31" s="399">
        <f t="shared" si="2"/>
        <v>0</v>
      </c>
    </row>
    <row r="32" spans="2:29" s="8" customFormat="1">
      <c r="B32" s="37" t="s">
        <v>127</v>
      </c>
      <c r="C32" s="413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400">
        <f t="shared" si="1"/>
        <v>0</v>
      </c>
      <c r="AC32" s="399">
        <f t="shared" si="2"/>
        <v>0</v>
      </c>
    </row>
    <row r="33" spans="1:30" s="8" customFormat="1">
      <c r="B33" s="37" t="s">
        <v>220</v>
      </c>
      <c r="C33" s="413">
        <f>-БЦ!F60+-'Факт МЖК '!F91</f>
        <v>-2755965991.7857132</v>
      </c>
      <c r="D33" s="74">
        <f t="shared" ref="D33:H33" si="27">-IF((D30+D32)&gt;0,(D30-D32)*0.2,0)</f>
        <v>0</v>
      </c>
      <c r="E33" s="74">
        <f t="shared" si="27"/>
        <v>0</v>
      </c>
      <c r="F33" s="74">
        <f t="shared" si="27"/>
        <v>0</v>
      </c>
      <c r="G33" s="74">
        <f t="shared" si="27"/>
        <v>0</v>
      </c>
      <c r="H33" s="74">
        <f t="shared" si="27"/>
        <v>0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>
        <f>-IF((AB30+AB32)&gt;0,(AB30-AB32)*0.2,0)</f>
        <v>0</v>
      </c>
      <c r="T33" s="74"/>
      <c r="U33" s="74"/>
      <c r="V33" s="74"/>
      <c r="W33" s="74"/>
      <c r="X33" s="74">
        <f t="shared" ref="X33:AA33" si="28">-IF((X30+X32)&gt;0,(X30-X32)*0.2,0)</f>
        <v>-516317773.60263187</v>
      </c>
      <c r="Y33" s="74">
        <f t="shared" si="28"/>
        <v>0</v>
      </c>
      <c r="Z33" s="74">
        <f t="shared" si="28"/>
        <v>0</v>
      </c>
      <c r="AA33" s="74">
        <f t="shared" si="28"/>
        <v>0</v>
      </c>
      <c r="AB33" s="394">
        <f t="shared" si="1"/>
        <v>0</v>
      </c>
      <c r="AC33" s="395">
        <f>C33</f>
        <v>-2755965991.7857132</v>
      </c>
    </row>
    <row r="34" spans="1:30" s="8" customFormat="1">
      <c r="B34" s="37" t="s">
        <v>221</v>
      </c>
      <c r="C34" s="413"/>
      <c r="D34" s="74">
        <f>IF(-((D9-D15)+D29)&gt;0,-((D9-D15)+D29),0)</f>
        <v>190472571.42857146</v>
      </c>
      <c r="E34" s="74">
        <f t="shared" ref="E34:N34" si="29">-((E9-E15)+E29)</f>
        <v>24183878.571428597</v>
      </c>
      <c r="F34" s="74">
        <f t="shared" si="29"/>
        <v>19925892.857142866</v>
      </c>
      <c r="G34" s="74">
        <f t="shared" si="29"/>
        <v>79759246.071428657</v>
      </c>
      <c r="H34" s="74">
        <f t="shared" si="29"/>
        <v>70025957.142857194</v>
      </c>
      <c r="I34" s="74">
        <f t="shared" si="29"/>
        <v>42808440</v>
      </c>
      <c r="J34" s="74">
        <f t="shared" si="29"/>
        <v>-28786886.160714149</v>
      </c>
      <c r="K34" s="74">
        <f t="shared" si="29"/>
        <v>-121362997.78645849</v>
      </c>
      <c r="L34" s="74">
        <f t="shared" si="29"/>
        <v>-196867216.44662952</v>
      </c>
      <c r="M34" s="74">
        <f t="shared" si="29"/>
        <v>-269319018.79576528</v>
      </c>
      <c r="N34" s="74">
        <f t="shared" si="29"/>
        <v>-267247478.24055219</v>
      </c>
      <c r="O34" s="74">
        <f>-((O9-O7-O15)+O29)</f>
        <v>-10479441387.480175</v>
      </c>
      <c r="P34" s="74">
        <f t="shared" ref="P34" si="30">-((P9-P15)+P29)</f>
        <v>-153289431.03337085</v>
      </c>
      <c r="Q34" s="74">
        <f t="shared" ref="Q34:AA34" si="31">-((Q9-Q15)+Q29)</f>
        <v>-216070446.97761488</v>
      </c>
      <c r="R34" s="74">
        <f t="shared" si="31"/>
        <v>-479359427.25160766</v>
      </c>
      <c r="S34" s="74">
        <f t="shared" si="31"/>
        <v>-492477102.86502779</v>
      </c>
      <c r="T34" s="74">
        <f t="shared" si="31"/>
        <v>-524720447.32696187</v>
      </c>
      <c r="U34" s="74">
        <f t="shared" si="31"/>
        <v>-337725105.07209927</v>
      </c>
      <c r="V34" s="74">
        <f t="shared" si="31"/>
        <v>-311622797.364151</v>
      </c>
      <c r="W34" s="74">
        <f t="shared" si="31"/>
        <v>-291224943.96551991</v>
      </c>
      <c r="X34" s="74">
        <f t="shared" si="31"/>
        <v>-276598807.28712463</v>
      </c>
      <c r="Y34" s="74">
        <f t="shared" si="31"/>
        <v>0</v>
      </c>
      <c r="Z34" s="74">
        <f t="shared" si="31"/>
        <v>0</v>
      </c>
      <c r="AA34" s="74">
        <f t="shared" si="31"/>
        <v>0</v>
      </c>
      <c r="AB34" s="394"/>
      <c r="AC34" s="395"/>
    </row>
    <row r="35" spans="1:30" s="8" customFormat="1">
      <c r="B35" s="37" t="s">
        <v>315</v>
      </c>
      <c r="C35" s="413">
        <f>-БЦ!F58+-'Факт МЖК '!F90</f>
        <v>-3610247371.0714316</v>
      </c>
      <c r="D35" s="74"/>
      <c r="E35" s="74"/>
      <c r="F35" s="74"/>
      <c r="G35" s="369"/>
      <c r="H35" s="74"/>
      <c r="I35" s="74"/>
      <c r="J35" s="369"/>
      <c r="K35" s="74"/>
      <c r="L35" s="74"/>
      <c r="M35" s="369">
        <f t="shared" ref="M35" si="32">SUM(J34:L34)</f>
        <v>-347017100.39380217</v>
      </c>
      <c r="N35" s="74"/>
      <c r="O35" s="74"/>
      <c r="P35" s="369">
        <f>SUM(M34:N34)</f>
        <v>-536566497.03631747</v>
      </c>
      <c r="Q35" s="74"/>
      <c r="R35" s="74"/>
      <c r="S35" s="369">
        <f t="shared" ref="S35" si="33">SUM(P34:R34)</f>
        <v>-848719305.26259339</v>
      </c>
      <c r="T35" s="74"/>
      <c r="U35" s="74"/>
      <c r="V35" s="369">
        <f t="shared" ref="V35" si="34">SUM(S34:U34)</f>
        <v>-1354922655.2640889</v>
      </c>
      <c r="W35" s="74"/>
      <c r="X35" s="74"/>
      <c r="Y35" s="369">
        <f t="shared" ref="Y35" si="35">SUM(V34:X34)</f>
        <v>-879446548.61679554</v>
      </c>
      <c r="Z35" s="74"/>
      <c r="AA35" s="74"/>
      <c r="AB35" s="394"/>
      <c r="AC35" s="395"/>
    </row>
    <row r="36" spans="1:30" s="8" customFormat="1">
      <c r="B36" s="11" t="s">
        <v>1</v>
      </c>
      <c r="C36" s="413">
        <f>AB36+AC36</f>
        <v>18631575127.658939</v>
      </c>
      <c r="D36" s="86">
        <f>SUM(D30,D31,D32,D33,D35)</f>
        <v>-1777744000</v>
      </c>
      <c r="E36" s="86">
        <f t="shared" ref="E36:AA36" si="36">SUM(E30,E31,E32,E33,E35)</f>
        <v>-226816200</v>
      </c>
      <c r="F36" s="86">
        <f t="shared" si="36"/>
        <v>-223013560</v>
      </c>
      <c r="G36" s="86">
        <f t="shared" si="36"/>
        <v>-764958190</v>
      </c>
      <c r="H36" s="86">
        <f t="shared" si="36"/>
        <v>-674114160</v>
      </c>
      <c r="I36" s="86">
        <f t="shared" si="36"/>
        <v>-440264000</v>
      </c>
      <c r="J36" s="86">
        <f t="shared" si="36"/>
        <v>249959044.16666651</v>
      </c>
      <c r="K36" s="86">
        <f t="shared" si="36"/>
        <v>1114002752.6736107</v>
      </c>
      <c r="L36" s="86">
        <f t="shared" si="36"/>
        <v>1785708793.5018725</v>
      </c>
      <c r="M36" s="86">
        <f t="shared" si="36"/>
        <v>2147908515.0333385</v>
      </c>
      <c r="N36" s="86">
        <f t="shared" si="36"/>
        <v>2475591236.911819</v>
      </c>
      <c r="O36" s="86">
        <f t="shared" si="36"/>
        <v>-9560432276.8517075</v>
      </c>
      <c r="P36" s="86">
        <f t="shared" si="36"/>
        <v>875416299.2751416</v>
      </c>
      <c r="Q36" s="86">
        <f t="shared" si="36"/>
        <v>1997938945.124403</v>
      </c>
      <c r="R36" s="86">
        <f t="shared" si="36"/>
        <v>4433302761.0149994</v>
      </c>
      <c r="S36" s="86">
        <f t="shared" si="36"/>
        <v>3729015094.8109932</v>
      </c>
      <c r="T36" s="86">
        <f t="shared" si="36"/>
        <v>4878672281.7183113</v>
      </c>
      <c r="U36" s="86">
        <f t="shared" si="36"/>
        <v>3153920980.672925</v>
      </c>
      <c r="V36" s="86">
        <f t="shared" si="36"/>
        <v>1553556786.8013179</v>
      </c>
      <c r="W36" s="86">
        <f t="shared" si="36"/>
        <v>2718099477.0115166</v>
      </c>
      <c r="X36" s="86">
        <f t="shared" si="36"/>
        <v>2065271094.4105275</v>
      </c>
      <c r="Y36" s="86">
        <f t="shared" si="36"/>
        <v>-879446548.61679554</v>
      </c>
      <c r="Z36" s="86">
        <f t="shared" si="36"/>
        <v>0</v>
      </c>
      <c r="AA36" s="86">
        <f t="shared" si="36"/>
        <v>0</v>
      </c>
      <c r="AB36" s="401">
        <f t="shared" si="1"/>
        <v>-5894172044.5643997</v>
      </c>
      <c r="AC36" s="402">
        <f t="shared" si="2"/>
        <v>24525747172.223339</v>
      </c>
    </row>
    <row r="37" spans="1:30">
      <c r="A37" s="98"/>
      <c r="B37" s="10" t="s">
        <v>199</v>
      </c>
      <c r="C37" s="414">
        <f t="shared" si="22"/>
        <v>0</v>
      </c>
      <c r="D37" s="74">
        <f t="shared" ref="D37:AA37" si="37">-D9*$A37</f>
        <v>0</v>
      </c>
      <c r="E37" s="74">
        <f t="shared" si="37"/>
        <v>0</v>
      </c>
      <c r="F37" s="74">
        <f t="shared" si="37"/>
        <v>0</v>
      </c>
      <c r="G37" s="74">
        <f t="shared" si="37"/>
        <v>0</v>
      </c>
      <c r="H37" s="74">
        <f t="shared" si="37"/>
        <v>0</v>
      </c>
      <c r="I37" s="74">
        <f t="shared" si="37"/>
        <v>0</v>
      </c>
      <c r="J37" s="74">
        <f t="shared" si="37"/>
        <v>0</v>
      </c>
      <c r="K37" s="74">
        <f t="shared" si="37"/>
        <v>0</v>
      </c>
      <c r="L37" s="74">
        <f t="shared" si="37"/>
        <v>0</v>
      </c>
      <c r="M37" s="74">
        <f t="shared" si="37"/>
        <v>0</v>
      </c>
      <c r="N37" s="74">
        <f t="shared" si="37"/>
        <v>0</v>
      </c>
      <c r="O37" s="74">
        <f t="shared" si="37"/>
        <v>0</v>
      </c>
      <c r="P37" s="74">
        <f t="shared" si="37"/>
        <v>0</v>
      </c>
      <c r="Q37" s="74">
        <f t="shared" si="37"/>
        <v>0</v>
      </c>
      <c r="R37" s="74">
        <f t="shared" si="37"/>
        <v>0</v>
      </c>
      <c r="S37" s="74">
        <f t="shared" si="37"/>
        <v>0</v>
      </c>
      <c r="T37" s="74">
        <f t="shared" si="37"/>
        <v>0</v>
      </c>
      <c r="U37" s="74">
        <f t="shared" si="37"/>
        <v>0</v>
      </c>
      <c r="V37" s="74">
        <f t="shared" si="37"/>
        <v>0</v>
      </c>
      <c r="W37" s="74">
        <f t="shared" si="37"/>
        <v>0</v>
      </c>
      <c r="X37" s="74">
        <f t="shared" si="37"/>
        <v>0</v>
      </c>
      <c r="Y37" s="74">
        <f t="shared" si="37"/>
        <v>0</v>
      </c>
      <c r="Z37" s="74">
        <f t="shared" si="37"/>
        <v>0</v>
      </c>
      <c r="AA37" s="74">
        <f t="shared" si="37"/>
        <v>0</v>
      </c>
      <c r="AB37" s="394">
        <f t="shared" si="1"/>
        <v>0</v>
      </c>
      <c r="AC37" s="395">
        <f t="shared" si="2"/>
        <v>0</v>
      </c>
    </row>
    <row r="38" spans="1:30">
      <c r="B38" s="10"/>
      <c r="C38" s="41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394">
        <f t="shared" si="1"/>
        <v>0</v>
      </c>
      <c r="AC38" s="395">
        <f t="shared" si="2"/>
        <v>0</v>
      </c>
    </row>
    <row r="39" spans="1:30">
      <c r="B39" s="429" t="s">
        <v>353</v>
      </c>
      <c r="C39" s="433">
        <f>AB39+AC39</f>
        <v>18631575127.658939</v>
      </c>
      <c r="D39" s="430">
        <f t="shared" ref="D39:E39" si="38">SUM(D36,D37)</f>
        <v>-1777744000</v>
      </c>
      <c r="E39" s="430">
        <f t="shared" si="38"/>
        <v>-226816200</v>
      </c>
      <c r="F39" s="430">
        <f>SUM(F36,F37)</f>
        <v>-223013560</v>
      </c>
      <c r="G39" s="430">
        <f t="shared" ref="G39:AA39" si="39">SUM(G36,G37)</f>
        <v>-764958190</v>
      </c>
      <c r="H39" s="430">
        <f t="shared" si="39"/>
        <v>-674114160</v>
      </c>
      <c r="I39" s="430">
        <f t="shared" si="39"/>
        <v>-440264000</v>
      </c>
      <c r="J39" s="430">
        <f t="shared" si="39"/>
        <v>249959044.16666651</v>
      </c>
      <c r="K39" s="430">
        <f t="shared" si="39"/>
        <v>1114002752.6736107</v>
      </c>
      <c r="L39" s="430">
        <f t="shared" si="39"/>
        <v>1785708793.5018725</v>
      </c>
      <c r="M39" s="430">
        <f t="shared" si="39"/>
        <v>2147908515.0333385</v>
      </c>
      <c r="N39" s="430">
        <f t="shared" si="39"/>
        <v>2475591236.911819</v>
      </c>
      <c r="O39" s="430">
        <f t="shared" si="39"/>
        <v>-9560432276.8517075</v>
      </c>
      <c r="P39" s="430">
        <f t="shared" si="39"/>
        <v>875416299.2751416</v>
      </c>
      <c r="Q39" s="430">
        <f t="shared" si="39"/>
        <v>1997938945.124403</v>
      </c>
      <c r="R39" s="430">
        <f t="shared" si="39"/>
        <v>4433302761.0149994</v>
      </c>
      <c r="S39" s="430">
        <f t="shared" si="39"/>
        <v>3729015094.8109932</v>
      </c>
      <c r="T39" s="430">
        <f t="shared" si="39"/>
        <v>4878672281.7183113</v>
      </c>
      <c r="U39" s="430">
        <f t="shared" si="39"/>
        <v>3153920980.672925</v>
      </c>
      <c r="V39" s="430">
        <f t="shared" si="39"/>
        <v>1553556786.8013179</v>
      </c>
      <c r="W39" s="430">
        <f t="shared" si="39"/>
        <v>2718099477.0115166</v>
      </c>
      <c r="X39" s="430">
        <f t="shared" si="39"/>
        <v>2065271094.4105275</v>
      </c>
      <c r="Y39" s="430">
        <f t="shared" si="39"/>
        <v>-879446548.61679554</v>
      </c>
      <c r="Z39" s="430">
        <f t="shared" si="39"/>
        <v>0</v>
      </c>
      <c r="AA39" s="430">
        <f t="shared" si="39"/>
        <v>0</v>
      </c>
      <c r="AB39" s="431">
        <f t="shared" si="1"/>
        <v>-5894172044.5643997</v>
      </c>
      <c r="AC39" s="432">
        <f t="shared" si="2"/>
        <v>24525747172.223339</v>
      </c>
    </row>
    <row r="40" spans="1:30">
      <c r="B40" s="429"/>
      <c r="C40" s="428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1"/>
      <c r="AC40" s="432"/>
    </row>
    <row r="41" spans="1:30">
      <c r="B41" s="429" t="s">
        <v>354</v>
      </c>
      <c r="C41" s="428"/>
      <c r="D41" s="430">
        <f>D39</f>
        <v>-1777744000</v>
      </c>
      <c r="E41" s="430">
        <f t="shared" ref="E41:AA41" si="40">SUM(D41,E39)</f>
        <v>-2004560200</v>
      </c>
      <c r="F41" s="430">
        <f t="shared" si="40"/>
        <v>-2227573760</v>
      </c>
      <c r="G41" s="430">
        <f t="shared" si="40"/>
        <v>-2992531950</v>
      </c>
      <c r="H41" s="430">
        <f t="shared" si="40"/>
        <v>-3666646110</v>
      </c>
      <c r="I41" s="430">
        <f t="shared" si="40"/>
        <v>-4106910110</v>
      </c>
      <c r="J41" s="430">
        <f t="shared" si="40"/>
        <v>-3856951065.8333335</v>
      </c>
      <c r="K41" s="430">
        <f t="shared" si="40"/>
        <v>-2742948313.1597228</v>
      </c>
      <c r="L41" s="430">
        <f t="shared" si="40"/>
        <v>-957239519.65785027</v>
      </c>
      <c r="M41" s="430">
        <f t="shared" si="40"/>
        <v>1190668995.3754883</v>
      </c>
      <c r="N41" s="430">
        <f t="shared" si="40"/>
        <v>3666260232.2873073</v>
      </c>
      <c r="O41" s="430">
        <f t="shared" si="40"/>
        <v>-5894172044.5643997</v>
      </c>
      <c r="P41" s="430">
        <f t="shared" si="40"/>
        <v>-5018755745.289258</v>
      </c>
      <c r="Q41" s="430">
        <f t="shared" si="40"/>
        <v>-3020816800.164855</v>
      </c>
      <c r="R41" s="430">
        <f t="shared" si="40"/>
        <v>1412485960.8501444</v>
      </c>
      <c r="S41" s="430">
        <f t="shared" si="40"/>
        <v>5141501055.6611376</v>
      </c>
      <c r="T41" s="430">
        <f t="shared" si="40"/>
        <v>10020173337.379448</v>
      </c>
      <c r="U41" s="430">
        <f t="shared" si="40"/>
        <v>13174094318.052372</v>
      </c>
      <c r="V41" s="430">
        <f t="shared" si="40"/>
        <v>14727651104.853689</v>
      </c>
      <c r="W41" s="430">
        <f t="shared" si="40"/>
        <v>17445750581.865204</v>
      </c>
      <c r="X41" s="430">
        <f t="shared" si="40"/>
        <v>19511021676.27573</v>
      </c>
      <c r="Y41" s="430">
        <f t="shared" si="40"/>
        <v>18631575127.658936</v>
      </c>
      <c r="Z41" s="430">
        <f t="shared" si="40"/>
        <v>18631575127.658936</v>
      </c>
      <c r="AA41" s="430">
        <f t="shared" si="40"/>
        <v>18631575127.658936</v>
      </c>
      <c r="AB41" s="431"/>
      <c r="AC41" s="432"/>
      <c r="AD41" s="28"/>
    </row>
    <row r="42" spans="1:30" s="82" customFormat="1" ht="11.25">
      <c r="B42" s="81"/>
      <c r="C42" s="412"/>
      <c r="AB42" s="403"/>
      <c r="AC42" s="404"/>
    </row>
    <row r="43" spans="1:30">
      <c r="B43" s="38" t="s">
        <v>3</v>
      </c>
      <c r="C43" s="415">
        <f>IRR(D39:AA39)</f>
        <v>0.14408438898658837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05"/>
      <c r="AC43" s="385"/>
    </row>
    <row r="44" spans="1:30">
      <c r="B44" s="38" t="s">
        <v>4</v>
      </c>
      <c r="C44" s="416">
        <f>NPV('Input data'!C10,D39:AA39)</f>
        <v>-613882353.62069142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5"/>
      <c r="AC44" s="385"/>
    </row>
    <row r="45" spans="1:30">
      <c r="B45" s="38" t="s">
        <v>5</v>
      </c>
      <c r="C45" s="41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05"/>
      <c r="AC45" s="385"/>
    </row>
    <row r="46" spans="1:30" ht="15.75" thickBot="1">
      <c r="B46" s="38" t="s">
        <v>95</v>
      </c>
      <c r="C46" s="418">
        <v>1.4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06"/>
      <c r="AC46" s="407"/>
    </row>
    <row r="48" spans="1:30"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54"/>
    </row>
    <row r="49" spans="2:29"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2"/>
    </row>
    <row r="50" spans="2:29"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2:29">
      <c r="B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2:29">
      <c r="B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2:29">
      <c r="B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2:29"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3"/>
    </row>
    <row r="57" spans="2:29"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</row>
  </sheetData>
  <conditionalFormatting sqref="D36:AC36">
    <cfRule type="cellIs" dxfId="3" priority="15" operator="lessThan">
      <formula>0</formula>
    </cfRule>
  </conditionalFormatting>
  <conditionalFormatting sqref="D36:AA36">
    <cfRule type="cellIs" dxfId="2" priority="5" operator="lessThan">
      <formula>0</formula>
    </cfRule>
  </conditionalFormatting>
  <conditionalFormatting sqref="P36:AA36">
    <cfRule type="cellIs" dxfId="1" priority="4" operator="lessThan">
      <formula>0</formula>
    </cfRule>
  </conditionalFormatting>
  <conditionalFormatting sqref="AC36">
    <cfRule type="cellIs" dxfId="0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9"/>
  <sheetViews>
    <sheetView zoomScale="110" zoomScaleNormal="110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D67" sqref="D67"/>
    </sheetView>
  </sheetViews>
  <sheetFormatPr defaultColWidth="8.875" defaultRowHeight="15" outlineLevelRow="1" outlineLevelCol="1"/>
  <cols>
    <col min="1" max="1" width="6.125" style="67" customWidth="1"/>
    <col min="2" max="2" width="33.5" style="3" customWidth="1"/>
    <col min="3" max="3" width="10" style="57" customWidth="1"/>
    <col min="4" max="4" width="12.625" style="59" bestFit="1" customWidth="1"/>
    <col min="5" max="5" width="11" style="3" bestFit="1" customWidth="1"/>
    <col min="6" max="6" width="9.625" style="3" customWidth="1" outlineLevel="1"/>
    <col min="7" max="7" width="10.5" style="3" bestFit="1" customWidth="1" outlineLevel="1"/>
    <col min="8" max="8" width="9.625" style="3" customWidth="1" outlineLevel="1"/>
    <col min="9" max="9" width="11.75" style="3" bestFit="1" customWidth="1" outlineLevel="1"/>
    <col min="10" max="10" width="9.625" style="3" customWidth="1" outlineLevel="1"/>
    <col min="11" max="11" width="11.75" style="3" bestFit="1" customWidth="1" outlineLevel="1"/>
    <col min="12" max="17" width="10.5" style="3" bestFit="1" customWidth="1" outlineLevel="1"/>
    <col min="18" max="18" width="10.5" style="3" bestFit="1" customWidth="1"/>
    <col min="19" max="19" width="9.625" style="3" customWidth="1" outlineLevel="1"/>
    <col min="20" max="20" width="10.5" style="3" bestFit="1" customWidth="1" outlineLevel="1"/>
    <col min="21" max="21" width="9.625" style="3" customWidth="1" outlineLevel="1"/>
    <col min="22" max="22" width="6.625" style="3" customWidth="1" outlineLevel="1"/>
    <col min="23" max="23" width="9.625" style="3" customWidth="1" outlineLevel="1"/>
    <col min="24" max="27" width="6.625" style="3" customWidth="1" outlineLevel="1"/>
    <col min="28" max="28" width="6.875" style="3" customWidth="1" outlineLevel="1"/>
    <col min="29" max="30" width="6.625" style="3" customWidth="1" outlineLevel="1"/>
    <col min="31" max="31" width="10.5" style="3" bestFit="1" customWidth="1"/>
    <col min="32" max="32" width="9.625" style="3" bestFit="1" customWidth="1"/>
    <col min="33" max="16384" width="8.875" style="3"/>
  </cols>
  <sheetData>
    <row r="1" spans="1:32" ht="18">
      <c r="A1" s="9" t="s">
        <v>154</v>
      </c>
      <c r="C1" s="55"/>
      <c r="D1" s="56">
        <f>(1+$D$2)</f>
        <v>1</v>
      </c>
    </row>
    <row r="2" spans="1:32" ht="18">
      <c r="A2" s="4"/>
      <c r="D2" s="58">
        <v>0</v>
      </c>
    </row>
    <row r="3" spans="1:32" ht="9" customHeight="1">
      <c r="A3" s="4"/>
    </row>
    <row r="4" spans="1:32" s="8" customFormat="1">
      <c r="A4" s="60" t="s">
        <v>40</v>
      </c>
      <c r="B4" s="17" t="s">
        <v>97</v>
      </c>
      <c r="C4" s="60" t="s">
        <v>14</v>
      </c>
      <c r="D4" s="61" t="s">
        <v>32</v>
      </c>
      <c r="E4" s="100" t="s">
        <v>209</v>
      </c>
      <c r="F4" s="99">
        <v>45658</v>
      </c>
      <c r="G4" s="99">
        <v>45689</v>
      </c>
      <c r="H4" s="99">
        <v>45717</v>
      </c>
      <c r="I4" s="99">
        <v>45748</v>
      </c>
      <c r="J4" s="99">
        <v>45778</v>
      </c>
      <c r="K4" s="99">
        <v>45809</v>
      </c>
      <c r="L4" s="99">
        <v>45839</v>
      </c>
      <c r="M4" s="99">
        <v>45870</v>
      </c>
      <c r="N4" s="99">
        <v>45901</v>
      </c>
      <c r="O4" s="99">
        <v>45931</v>
      </c>
      <c r="P4" s="99">
        <v>45962</v>
      </c>
      <c r="Q4" s="99">
        <v>45992</v>
      </c>
      <c r="R4" s="100" t="s">
        <v>201</v>
      </c>
      <c r="S4" s="99">
        <v>46023</v>
      </c>
      <c r="T4" s="99">
        <v>46054</v>
      </c>
      <c r="U4" s="99">
        <v>46082</v>
      </c>
      <c r="V4" s="99">
        <v>46113</v>
      </c>
      <c r="W4" s="99">
        <v>46143</v>
      </c>
      <c r="X4" s="99">
        <v>46174</v>
      </c>
      <c r="Y4" s="99">
        <v>46204</v>
      </c>
      <c r="Z4" s="99">
        <v>46235</v>
      </c>
      <c r="AA4" s="99">
        <v>46266</v>
      </c>
      <c r="AB4" s="99">
        <v>46296</v>
      </c>
      <c r="AC4" s="99">
        <v>46327</v>
      </c>
      <c r="AD4" s="99">
        <v>46357</v>
      </c>
      <c r="AE4" s="100" t="s">
        <v>200</v>
      </c>
    </row>
    <row r="5" spans="1:32" s="8" customFormat="1">
      <c r="A5" s="102">
        <v>1</v>
      </c>
      <c r="B5" s="103" t="s">
        <v>148</v>
      </c>
      <c r="C5" s="104">
        <f>SUM(C6:C13)</f>
        <v>771324.25142857141</v>
      </c>
      <c r="D5" s="105">
        <f>C5*'Input data'!$C$11</f>
        <v>404945232</v>
      </c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3">
        <f>SUM(F5:Q5)</f>
        <v>0</v>
      </c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3">
        <f t="shared" ref="AE5" si="0">SUM(S5:AD5)</f>
        <v>0</v>
      </c>
      <c r="AF5" s="118"/>
    </row>
    <row r="6" spans="1:32" outlineLevel="1">
      <c r="A6" s="64" t="s">
        <v>6</v>
      </c>
      <c r="B6" s="5" t="s">
        <v>140</v>
      </c>
      <c r="C6" s="65">
        <f>194195232/'Input data'!C11</f>
        <v>369895.67999999999</v>
      </c>
      <c r="D6" s="59">
        <f>C6*'Input data'!$C$11</f>
        <v>194195232</v>
      </c>
      <c r="E6" s="47">
        <f>D6*0.6</f>
        <v>116517139.2</v>
      </c>
      <c r="F6" s="47"/>
      <c r="G6" s="47"/>
      <c r="H6" s="47">
        <f>D6*0.2</f>
        <v>38839046.399999999</v>
      </c>
      <c r="I6" s="47"/>
      <c r="J6" s="47">
        <f>D6*0.2</f>
        <v>38839046.399999999</v>
      </c>
      <c r="K6" s="47"/>
      <c r="L6" s="47"/>
      <c r="M6" s="47"/>
      <c r="N6" s="47"/>
      <c r="O6" s="47"/>
      <c r="P6" s="47"/>
      <c r="Q6" s="47"/>
      <c r="R6" s="47">
        <f>SUM(F6:Q6)</f>
        <v>77678092.799999997</v>
      </c>
      <c r="X6" s="47"/>
      <c r="Y6" s="47"/>
      <c r="Z6" s="47"/>
      <c r="AA6" s="47"/>
      <c r="AB6" s="47"/>
      <c r="AC6" s="47"/>
      <c r="AD6" s="47"/>
      <c r="AE6" s="47">
        <f>SUM(S6:AD6)</f>
        <v>0</v>
      </c>
      <c r="AF6" s="118" t="str">
        <f t="shared" ref="AF6:AF60" si="1">IF(D6-E6-R6-AE6=0,"",D6-E6-R6-AE6)</f>
        <v/>
      </c>
    </row>
    <row r="7" spans="1:32" outlineLevel="1">
      <c r="A7" s="64" t="s">
        <v>7</v>
      </c>
      <c r="B7" s="5" t="s">
        <v>141</v>
      </c>
      <c r="C7" s="65">
        <f>65000000/'Input data'!C11</f>
        <v>123809.52380952382</v>
      </c>
      <c r="D7" s="59">
        <f>C7*'Input data'!$C$11</f>
        <v>65000000</v>
      </c>
      <c r="E7" s="47">
        <f>D7*0.6</f>
        <v>39000000</v>
      </c>
      <c r="F7" s="47">
        <f>D7*0.4</f>
        <v>26000000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>
        <f>SUM(F7:Q7)</f>
        <v>26000000</v>
      </c>
      <c r="X7" s="47"/>
      <c r="Y7" s="47"/>
      <c r="Z7" s="47"/>
      <c r="AA7" s="47"/>
      <c r="AB7" s="47"/>
      <c r="AC7" s="47"/>
      <c r="AD7" s="47"/>
      <c r="AE7" s="47">
        <f t="shared" ref="AE7:AE59" si="2">SUM(S7:AD7)</f>
        <v>0</v>
      </c>
      <c r="AF7" s="118" t="str">
        <f t="shared" si="1"/>
        <v/>
      </c>
    </row>
    <row r="8" spans="1:32" outlineLevel="1">
      <c r="A8" s="64" t="s">
        <v>98</v>
      </c>
      <c r="B8" s="5" t="s">
        <v>99</v>
      </c>
      <c r="C8" s="71">
        <f>800000*15/'Input data'!$C$11</f>
        <v>22857.142857142859</v>
      </c>
      <c r="D8" s="95">
        <f>C8*'Input data'!$C$11</f>
        <v>12000000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>
        <f t="shared" ref="R8:R59" si="3">SUM(F8:Q8)</f>
        <v>0</v>
      </c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>
        <f t="shared" si="2"/>
        <v>0</v>
      </c>
      <c r="AF8" s="118">
        <f t="shared" si="1"/>
        <v>12000000</v>
      </c>
    </row>
    <row r="9" spans="1:32" outlineLevel="1">
      <c r="A9" s="64" t="s">
        <v>100</v>
      </c>
      <c r="B9" s="5" t="s">
        <v>101</v>
      </c>
      <c r="C9" s="71">
        <f>950000*15/'Input data'!$C$11</f>
        <v>27142.857142857141</v>
      </c>
      <c r="D9" s="95">
        <f>C9*'Input data'!$C$11</f>
        <v>14250000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f t="shared" si="3"/>
        <v>0</v>
      </c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>
        <f t="shared" si="2"/>
        <v>0</v>
      </c>
      <c r="AF9" s="118">
        <f t="shared" si="1"/>
        <v>14250000</v>
      </c>
    </row>
    <row r="10" spans="1:32" ht="25.5" outlineLevel="1">
      <c r="A10" s="64" t="s">
        <v>102</v>
      </c>
      <c r="B10" s="66" t="s">
        <v>103</v>
      </c>
      <c r="C10" s="71">
        <f>2500000/'Input data'!C11</f>
        <v>4761.9047619047615</v>
      </c>
      <c r="D10" s="95">
        <f>C10*'Input data'!$C$11</f>
        <v>2500000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>
        <f t="shared" si="3"/>
        <v>0</v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>
        <f t="shared" si="2"/>
        <v>0</v>
      </c>
      <c r="AF10" s="118">
        <f t="shared" si="1"/>
        <v>2500000</v>
      </c>
    </row>
    <row r="11" spans="1:32" outlineLevel="1">
      <c r="A11" s="64" t="s">
        <v>142</v>
      </c>
      <c r="B11" s="66" t="s">
        <v>144</v>
      </c>
      <c r="C11" s="71">
        <f>30000000/'Input data'!C11</f>
        <v>57142.857142857145</v>
      </c>
      <c r="D11" s="95">
        <f>C11*'Input data'!$C$11</f>
        <v>30000000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>
        <f t="shared" si="3"/>
        <v>0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>
        <f t="shared" si="2"/>
        <v>0</v>
      </c>
      <c r="AF11" s="118">
        <f t="shared" si="1"/>
        <v>30000000</v>
      </c>
    </row>
    <row r="12" spans="1:32" outlineLevel="1">
      <c r="A12" s="64" t="s">
        <v>143</v>
      </c>
      <c r="B12" s="66" t="s">
        <v>145</v>
      </c>
      <c r="C12" s="71">
        <f>65000000/'Input data'!C11</f>
        <v>123809.52380952382</v>
      </c>
      <c r="D12" s="95">
        <f>C12*'Input data'!$C$11</f>
        <v>65000000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>
        <f t="shared" si="3"/>
        <v>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>
        <f t="shared" si="2"/>
        <v>0</v>
      </c>
      <c r="AF12" s="118">
        <f t="shared" si="1"/>
        <v>65000000</v>
      </c>
    </row>
    <row r="13" spans="1:32" outlineLevel="1">
      <c r="A13" s="64" t="s">
        <v>146</v>
      </c>
      <c r="B13" s="66" t="s">
        <v>147</v>
      </c>
      <c r="C13" s="71">
        <f>22000000/'Input data'!C11</f>
        <v>41904.761904761908</v>
      </c>
      <c r="D13" s="95">
        <f>C13*'Input data'!$C$11</f>
        <v>22000000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>
        <f t="shared" si="3"/>
        <v>0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>
        <f t="shared" si="2"/>
        <v>0</v>
      </c>
      <c r="AF13" s="118">
        <f t="shared" si="1"/>
        <v>22000000</v>
      </c>
    </row>
    <row r="14" spans="1:32" s="8" customFormat="1">
      <c r="A14" s="102">
        <v>2</v>
      </c>
      <c r="B14" s="103" t="s">
        <v>8</v>
      </c>
      <c r="C14" s="104">
        <f>SUM(C15:C17)</f>
        <v>123809.52380952382</v>
      </c>
      <c r="D14" s="105">
        <f>C14*'Input data'!$C$11</f>
        <v>65000000</v>
      </c>
      <c r="E14" s="123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3">
        <f t="shared" si="3"/>
        <v>0</v>
      </c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3">
        <f t="shared" si="2"/>
        <v>0</v>
      </c>
      <c r="AF14" s="118"/>
    </row>
    <row r="15" spans="1:32" outlineLevel="1">
      <c r="A15" s="64" t="s">
        <v>9</v>
      </c>
      <c r="B15" s="5" t="s">
        <v>149</v>
      </c>
      <c r="C15" s="65">
        <f>48000000/'Input data'!C11</f>
        <v>91428.571428571435</v>
      </c>
      <c r="D15" s="59">
        <f>C15*'Input data'!$C$11</f>
        <v>48000000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f t="shared" si="3"/>
        <v>0</v>
      </c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>
        <f t="shared" si="2"/>
        <v>0</v>
      </c>
      <c r="AF15" s="118">
        <f t="shared" si="1"/>
        <v>48000000</v>
      </c>
    </row>
    <row r="16" spans="1:32" outlineLevel="1">
      <c r="A16" s="64" t="s">
        <v>10</v>
      </c>
      <c r="B16" s="5" t="s">
        <v>104</v>
      </c>
      <c r="C16" s="71">
        <f>9500000/'Input data'!C11</f>
        <v>18095.238095238095</v>
      </c>
      <c r="D16" s="59">
        <f>C16*'Input data'!$C$11</f>
        <v>9500000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 t="shared" si="3"/>
        <v>0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>
        <f t="shared" si="2"/>
        <v>0</v>
      </c>
      <c r="AF16" s="118">
        <f t="shared" si="1"/>
        <v>9500000</v>
      </c>
    </row>
    <row r="17" spans="1:32" outlineLevel="1">
      <c r="A17" s="64" t="s">
        <v>41</v>
      </c>
      <c r="B17" s="5" t="s">
        <v>105</v>
      </c>
      <c r="C17" s="65">
        <f>7500000/'Input data'!C11</f>
        <v>14285.714285714286</v>
      </c>
      <c r="D17" s="59">
        <f>C17*'Input data'!$C$11</f>
        <v>7500000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f t="shared" si="3"/>
        <v>0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>
        <f t="shared" si="2"/>
        <v>0</v>
      </c>
      <c r="AF17" s="118">
        <f t="shared" si="1"/>
        <v>7500000</v>
      </c>
    </row>
    <row r="18" spans="1:32">
      <c r="A18" s="106">
        <v>3</v>
      </c>
      <c r="B18" s="103" t="s">
        <v>71</v>
      </c>
      <c r="C18" s="104">
        <f>SUM(C19:C21)</f>
        <v>3111435.7142857146</v>
      </c>
      <c r="D18" s="105">
        <f>C18*'Input data'!$C$11</f>
        <v>1633503750.0000002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>
        <f t="shared" si="3"/>
        <v>0</v>
      </c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>
        <f t="shared" si="2"/>
        <v>0</v>
      </c>
      <c r="AF18" s="118"/>
    </row>
    <row r="19" spans="1:32" outlineLevel="1">
      <c r="A19" s="64" t="s">
        <v>11</v>
      </c>
      <c r="B19" s="5" t="s">
        <v>150</v>
      </c>
      <c r="C19" s="65">
        <f>164000000/'Input data'!$C$11</f>
        <v>312380.95238095237</v>
      </c>
      <c r="D19" s="59">
        <f>C19*'Input data'!$C$11</f>
        <v>164000000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>
        <f t="shared" si="3"/>
        <v>0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>
        <f t="shared" si="2"/>
        <v>0</v>
      </c>
      <c r="AF19" s="118">
        <f t="shared" si="1"/>
        <v>164000000</v>
      </c>
    </row>
    <row r="20" spans="1:32" outlineLevel="1">
      <c r="A20" s="64" t="s">
        <v>12</v>
      </c>
      <c r="B20" s="5" t="s">
        <v>30</v>
      </c>
      <c r="C20" s="65">
        <f>25*1486</f>
        <v>37150</v>
      </c>
      <c r="D20" s="59">
        <f>C20*'Input data'!$C$11</f>
        <v>19503750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>
        <f t="shared" si="3"/>
        <v>0</v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>
        <f t="shared" si="2"/>
        <v>0</v>
      </c>
      <c r="AF20" s="118">
        <f t="shared" si="1"/>
        <v>19503750</v>
      </c>
    </row>
    <row r="21" spans="1:32" outlineLevel="1">
      <c r="A21" s="64" t="s">
        <v>106</v>
      </c>
      <c r="B21" s="5" t="s">
        <v>151</v>
      </c>
      <c r="C21" s="65">
        <f>1450000000/'Input data'!$C$11</f>
        <v>2761904.7619047621</v>
      </c>
      <c r="D21" s="59">
        <f>C21*'Input data'!$C$11</f>
        <v>1450000000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>
        <f t="shared" si="3"/>
        <v>0</v>
      </c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>
        <f t="shared" si="2"/>
        <v>0</v>
      </c>
      <c r="AF21" s="118">
        <f t="shared" si="1"/>
        <v>1450000000</v>
      </c>
    </row>
    <row r="22" spans="1:32">
      <c r="A22" s="106">
        <v>4</v>
      </c>
      <c r="B22" s="103" t="s">
        <v>72</v>
      </c>
      <c r="C22" s="104">
        <f>SUM(C23:C27)</f>
        <v>12701217.142857144</v>
      </c>
      <c r="D22" s="105">
        <f>C22*'Input data'!$C$11</f>
        <v>6668139000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>
        <f t="shared" si="3"/>
        <v>0</v>
      </c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>
        <f t="shared" si="2"/>
        <v>0</v>
      </c>
      <c r="AF22" s="118"/>
    </row>
    <row r="23" spans="1:32" outlineLevel="1">
      <c r="A23" s="64" t="s">
        <v>15</v>
      </c>
      <c r="B23" s="5" t="s">
        <v>152</v>
      </c>
      <c r="C23" s="65">
        <f>2160000000/'Input data'!$C$11</f>
        <v>4114285.7142857141</v>
      </c>
      <c r="D23" s="59">
        <f>C23*'Input data'!$C$11</f>
        <v>2160000000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>
        <f t="shared" si="3"/>
        <v>0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>
        <f t="shared" si="2"/>
        <v>0</v>
      </c>
      <c r="AF23" s="118">
        <f t="shared" si="1"/>
        <v>2160000000</v>
      </c>
    </row>
    <row r="24" spans="1:32" outlineLevel="1">
      <c r="A24" s="64" t="s">
        <v>16</v>
      </c>
      <c r="B24" s="5" t="s">
        <v>107</v>
      </c>
      <c r="C24" s="65">
        <f>176000000/'Input data'!$C$11</f>
        <v>335238.09523809527</v>
      </c>
      <c r="D24" s="59">
        <f>C24*'Input data'!$C$11</f>
        <v>176000000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>
        <f t="shared" si="3"/>
        <v>0</v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>
        <f t="shared" si="2"/>
        <v>0</v>
      </c>
      <c r="AF24" s="118">
        <f t="shared" si="1"/>
        <v>176000000</v>
      </c>
    </row>
    <row r="25" spans="1:32" outlineLevel="1">
      <c r="A25" s="64" t="s">
        <v>108</v>
      </c>
      <c r="B25" s="5" t="s">
        <v>153</v>
      </c>
      <c r="C25" s="65">
        <f>840000000/'Input data'!$C$11</f>
        <v>1600000</v>
      </c>
      <c r="D25" s="59">
        <f>C25*'Input data'!$C$11</f>
        <v>840000000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>
        <f t="shared" si="3"/>
        <v>0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>
        <f t="shared" si="2"/>
        <v>0</v>
      </c>
      <c r="AF25" s="118">
        <f t="shared" si="1"/>
        <v>840000000</v>
      </c>
    </row>
    <row r="26" spans="1:32" outlineLevel="1">
      <c r="A26" s="64" t="s">
        <v>109</v>
      </c>
      <c r="B26" s="5" t="s">
        <v>155</v>
      </c>
      <c r="C26" s="65">
        <f>(85500*23000+728064000)/'Input data'!$C$11</f>
        <v>5132502.8571428573</v>
      </c>
      <c r="D26" s="59">
        <f>C26*'Input data'!$C$11</f>
        <v>2694564000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>
        <f t="shared" si="3"/>
        <v>0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>
        <f t="shared" si="2"/>
        <v>0</v>
      </c>
      <c r="AF26" s="118">
        <f t="shared" si="1"/>
        <v>2694564000</v>
      </c>
    </row>
    <row r="27" spans="1:32" outlineLevel="1">
      <c r="A27" s="64" t="s">
        <v>110</v>
      </c>
      <c r="B27" s="5" t="s">
        <v>156</v>
      </c>
      <c r="C27" s="65">
        <f>797575000/'Input data'!C11</f>
        <v>1519190.4761904762</v>
      </c>
      <c r="D27" s="59">
        <f>C27*'Input data'!$C$11</f>
        <v>797575000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>
        <f t="shared" si="3"/>
        <v>0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>
        <f t="shared" si="2"/>
        <v>0</v>
      </c>
      <c r="AF27" s="118">
        <f t="shared" si="1"/>
        <v>797575000</v>
      </c>
    </row>
    <row r="28" spans="1:32">
      <c r="A28" s="106">
        <v>5</v>
      </c>
      <c r="B28" s="103" t="s">
        <v>73</v>
      </c>
      <c r="C28" s="104">
        <f>SUM(C29:C35)</f>
        <v>5032380.9523809534</v>
      </c>
      <c r="D28" s="105">
        <f>C28*'Input data'!$C$11</f>
        <v>2642000000.0000005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>
        <f t="shared" si="3"/>
        <v>0</v>
      </c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>
        <f t="shared" si="2"/>
        <v>0</v>
      </c>
      <c r="AF28" s="118"/>
    </row>
    <row r="29" spans="1:32" outlineLevel="1">
      <c r="A29" s="64" t="s">
        <v>17</v>
      </c>
      <c r="B29" s="5" t="s">
        <v>29</v>
      </c>
      <c r="C29" s="65">
        <f>368000000/'Input data'!C11</f>
        <v>700952.38095238095</v>
      </c>
      <c r="D29" s="59">
        <f>C29*'Input data'!$C$11</f>
        <v>368000000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>
        <f t="shared" si="3"/>
        <v>0</v>
      </c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>
        <f t="shared" si="2"/>
        <v>0</v>
      </c>
      <c r="AF29" s="118">
        <f t="shared" si="1"/>
        <v>368000000</v>
      </c>
    </row>
    <row r="30" spans="1:32" outlineLevel="1">
      <c r="A30" s="64" t="s">
        <v>18</v>
      </c>
      <c r="B30" s="5" t="s">
        <v>28</v>
      </c>
      <c r="C30" s="65">
        <f>541000000/'Input data'!C11</f>
        <v>1030476.1904761905</v>
      </c>
      <c r="D30" s="59">
        <f>C30*'Input data'!$C$11</f>
        <v>541000000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>
        <f t="shared" si="3"/>
        <v>0</v>
      </c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>
        <f t="shared" si="2"/>
        <v>0</v>
      </c>
      <c r="AF30" s="118">
        <f t="shared" si="1"/>
        <v>541000000</v>
      </c>
    </row>
    <row r="31" spans="1:32" outlineLevel="1">
      <c r="A31" s="64" t="s">
        <v>19</v>
      </c>
      <c r="B31" s="5" t="s">
        <v>34</v>
      </c>
      <c r="C31" s="65">
        <f>1100000000/'Input data'!C11</f>
        <v>2095238.0952380951</v>
      </c>
      <c r="D31" s="59">
        <f>C31*'Input data'!$C$11</f>
        <v>1100000000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>
        <f t="shared" si="3"/>
        <v>0</v>
      </c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>
        <f t="shared" si="2"/>
        <v>0</v>
      </c>
      <c r="AF31" s="118">
        <f t="shared" si="1"/>
        <v>1100000000</v>
      </c>
    </row>
    <row r="32" spans="1:32" outlineLevel="1">
      <c r="A32" s="64" t="s">
        <v>20</v>
      </c>
      <c r="B32" s="5" t="s">
        <v>27</v>
      </c>
      <c r="C32" s="65">
        <f>160000000/'Input data'!C11</f>
        <v>304761.90476190473</v>
      </c>
      <c r="D32" s="59">
        <f>C32*'Input data'!$C$11</f>
        <v>160000000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>
        <f t="shared" si="3"/>
        <v>0</v>
      </c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>
        <f t="shared" si="2"/>
        <v>0</v>
      </c>
      <c r="AF32" s="118">
        <f t="shared" si="1"/>
        <v>160000000</v>
      </c>
    </row>
    <row r="33" spans="1:32" outlineLevel="1">
      <c r="A33" s="64" t="s">
        <v>111</v>
      </c>
      <c r="B33" s="5" t="s">
        <v>88</v>
      </c>
      <c r="C33" s="65">
        <f>340000000/'Input data'!C11</f>
        <v>647619.04761904757</v>
      </c>
      <c r="D33" s="59">
        <f>C33*'Input data'!$C$11</f>
        <v>340000000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>
        <f t="shared" si="3"/>
        <v>0</v>
      </c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>
        <f t="shared" si="2"/>
        <v>0</v>
      </c>
      <c r="AF33" s="118">
        <f t="shared" si="1"/>
        <v>340000000</v>
      </c>
    </row>
    <row r="34" spans="1:32" outlineLevel="1">
      <c r="A34" s="64" t="s">
        <v>112</v>
      </c>
      <c r="B34" s="5" t="s">
        <v>89</v>
      </c>
      <c r="C34" s="65">
        <f>98000000/'Input data'!C11</f>
        <v>186666.66666666666</v>
      </c>
      <c r="D34" s="59">
        <f>C34*'Input data'!$C$11</f>
        <v>98000000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>
        <f t="shared" si="3"/>
        <v>0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>
        <f t="shared" si="2"/>
        <v>0</v>
      </c>
      <c r="AF34" s="118">
        <f t="shared" si="1"/>
        <v>98000000</v>
      </c>
    </row>
    <row r="35" spans="1:32" outlineLevel="1">
      <c r="A35" s="64" t="s">
        <v>113</v>
      </c>
      <c r="B35" s="5" t="s">
        <v>90</v>
      </c>
      <c r="C35" s="65">
        <f>35000000/'Input data'!C11</f>
        <v>66666.666666666672</v>
      </c>
      <c r="D35" s="59">
        <f>C35*'Input data'!$C$11</f>
        <v>35000000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>
        <f t="shared" si="3"/>
        <v>0</v>
      </c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>
        <f t="shared" si="2"/>
        <v>0</v>
      </c>
      <c r="AF35" s="118">
        <f t="shared" si="1"/>
        <v>35000000</v>
      </c>
    </row>
    <row r="36" spans="1:32">
      <c r="A36" s="106">
        <v>6</v>
      </c>
      <c r="B36" s="103" t="s">
        <v>74</v>
      </c>
      <c r="C36" s="104">
        <f>SUM(C37:C39)</f>
        <v>366061.90476190479</v>
      </c>
      <c r="D36" s="105">
        <f>C36*'Input data'!$C$11</f>
        <v>192182500.00000003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>
        <f t="shared" si="3"/>
        <v>0</v>
      </c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>
        <f t="shared" si="2"/>
        <v>0</v>
      </c>
      <c r="AF36" s="118"/>
    </row>
    <row r="37" spans="1:32" outlineLevel="1">
      <c r="A37" s="64" t="s">
        <v>21</v>
      </c>
      <c r="B37" s="5" t="s">
        <v>35</v>
      </c>
      <c r="C37" s="65">
        <f>130000000/'Input data'!C11</f>
        <v>247619.04761904763</v>
      </c>
      <c r="D37" s="59">
        <f>C37*'Input data'!$C$11</f>
        <v>130000000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>
        <f t="shared" si="3"/>
        <v>0</v>
      </c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>
        <f t="shared" si="2"/>
        <v>0</v>
      </c>
      <c r="AF37" s="118">
        <f t="shared" si="1"/>
        <v>130000000</v>
      </c>
    </row>
    <row r="38" spans="1:32" outlineLevel="1">
      <c r="A38" s="64" t="s">
        <v>22</v>
      </c>
      <c r="B38" s="5" t="s">
        <v>92</v>
      </c>
      <c r="C38" s="65">
        <f>30000000/'Input data'!C11</f>
        <v>57142.857142857145</v>
      </c>
      <c r="D38" s="59">
        <f>C38*'Input data'!$C$11</f>
        <v>30000000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>
        <f t="shared" si="3"/>
        <v>0</v>
      </c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>
        <f t="shared" si="2"/>
        <v>0</v>
      </c>
      <c r="AF38" s="118">
        <f t="shared" si="1"/>
        <v>30000000</v>
      </c>
    </row>
    <row r="39" spans="1:32" outlineLevel="1">
      <c r="A39" s="64" t="s">
        <v>191</v>
      </c>
      <c r="B39" s="5" t="s">
        <v>91</v>
      </c>
      <c r="C39" s="65">
        <v>61300</v>
      </c>
      <c r="D39" s="59">
        <f>C39*'Input data'!$C$11</f>
        <v>32182500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>
        <f t="shared" si="3"/>
        <v>0</v>
      </c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>
        <f t="shared" si="2"/>
        <v>0</v>
      </c>
      <c r="AF39" s="118">
        <f t="shared" si="1"/>
        <v>32182500</v>
      </c>
    </row>
    <row r="40" spans="1:32">
      <c r="A40" s="107" t="s">
        <v>192</v>
      </c>
      <c r="B40" s="108" t="s">
        <v>116</v>
      </c>
      <c r="C40" s="104">
        <f>C41+C42+C43</f>
        <v>447619.04761904757</v>
      </c>
      <c r="D40" s="105">
        <f>C40*'Input data'!$C$11</f>
        <v>234999999.99999997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>
        <f t="shared" si="3"/>
        <v>0</v>
      </c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>
        <f t="shared" si="2"/>
        <v>0</v>
      </c>
      <c r="AF40" s="118"/>
    </row>
    <row r="41" spans="1:32" outlineLevel="1">
      <c r="A41" s="64" t="s">
        <v>23</v>
      </c>
      <c r="B41" s="5" t="s">
        <v>117</v>
      </c>
      <c r="C41" s="65">
        <f>60000000/'Input data'!C11</f>
        <v>114285.71428571429</v>
      </c>
      <c r="D41" s="59">
        <f>C41*'Input data'!$C$11</f>
        <v>60000000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>
        <f t="shared" si="3"/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>
        <f t="shared" si="2"/>
        <v>0</v>
      </c>
      <c r="AF41" s="118">
        <f t="shared" si="1"/>
        <v>60000000</v>
      </c>
    </row>
    <row r="42" spans="1:32" outlineLevel="1">
      <c r="A42" s="64" t="s">
        <v>24</v>
      </c>
      <c r="B42" s="5" t="s">
        <v>118</v>
      </c>
      <c r="C42" s="65">
        <f>90000000/'Input data'!C11</f>
        <v>171428.57142857142</v>
      </c>
      <c r="D42" s="59">
        <f>C42*'Input data'!$C$11</f>
        <v>90000000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>
        <f t="shared" si="3"/>
        <v>0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>
        <f t="shared" si="2"/>
        <v>0</v>
      </c>
      <c r="AF42" s="118">
        <f t="shared" si="1"/>
        <v>90000000</v>
      </c>
    </row>
    <row r="43" spans="1:32" outlineLevel="1">
      <c r="A43" s="64" t="s">
        <v>114</v>
      </c>
      <c r="B43" s="5" t="s">
        <v>119</v>
      </c>
      <c r="C43" s="65">
        <f>85000000/'Input data'!C11</f>
        <v>161904.76190476189</v>
      </c>
      <c r="D43" s="59">
        <f>C43*'Input data'!$C$11</f>
        <v>85000000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>
        <f t="shared" si="3"/>
        <v>0</v>
      </c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>
        <f t="shared" si="2"/>
        <v>0</v>
      </c>
      <c r="AF43" s="118">
        <f t="shared" si="1"/>
        <v>85000000</v>
      </c>
    </row>
    <row r="44" spans="1:32">
      <c r="A44" s="107" t="s">
        <v>115</v>
      </c>
      <c r="B44" s="108" t="s">
        <v>120</v>
      </c>
      <c r="C44" s="104">
        <f>C45</f>
        <v>571428.57142857148</v>
      </c>
      <c r="D44" s="105">
        <f>C44*'Input data'!$C$11</f>
        <v>300000000</v>
      </c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>
        <f t="shared" si="3"/>
        <v>0</v>
      </c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>
        <f t="shared" si="2"/>
        <v>0</v>
      </c>
      <c r="AF44" s="118"/>
    </row>
    <row r="45" spans="1:32" outlineLevel="1">
      <c r="A45" s="64" t="s">
        <v>25</v>
      </c>
      <c r="B45" s="5" t="s">
        <v>121</v>
      </c>
      <c r="C45" s="65">
        <f>300000000/'Input data'!C11</f>
        <v>571428.57142857148</v>
      </c>
      <c r="D45" s="59">
        <f>C45*'Input data'!$C$11</f>
        <v>300000000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>
        <f t="shared" si="3"/>
        <v>0</v>
      </c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>
        <f t="shared" si="2"/>
        <v>0</v>
      </c>
      <c r="AF45" s="118">
        <f t="shared" si="1"/>
        <v>300000000</v>
      </c>
    </row>
    <row r="46" spans="1:32">
      <c r="A46" s="106">
        <v>9</v>
      </c>
      <c r="B46" s="103" t="s">
        <v>157</v>
      </c>
      <c r="C46" s="104">
        <f>SUM(C47:C47)</f>
        <v>34285.714285714283</v>
      </c>
      <c r="D46" s="105">
        <f>C46*'Input data'!$C$11</f>
        <v>18000000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>
        <f t="shared" si="3"/>
        <v>0</v>
      </c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>
        <f t="shared" si="2"/>
        <v>0</v>
      </c>
      <c r="AF46" s="118"/>
    </row>
    <row r="47" spans="1:32" outlineLevel="1">
      <c r="A47" s="64" t="s">
        <v>43</v>
      </c>
      <c r="B47" s="5" t="s">
        <v>94</v>
      </c>
      <c r="C47" s="65">
        <f>18000000/'Input data'!C11</f>
        <v>34285.714285714283</v>
      </c>
      <c r="D47" s="59">
        <f>C47*'Input data'!$C$11</f>
        <v>18000000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>
        <f t="shared" si="3"/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>
        <f t="shared" si="2"/>
        <v>0</v>
      </c>
      <c r="AF47" s="118">
        <f t="shared" si="1"/>
        <v>18000000</v>
      </c>
    </row>
    <row r="48" spans="1:32">
      <c r="B48" s="68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>
        <f t="shared" si="3"/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>
        <f t="shared" si="2"/>
        <v>0</v>
      </c>
      <c r="AF48" s="118" t="str">
        <f t="shared" si="1"/>
        <v/>
      </c>
    </row>
    <row r="49" spans="1:32">
      <c r="A49" s="109"/>
      <c r="B49" s="111" t="s">
        <v>31</v>
      </c>
      <c r="C49" s="78">
        <f>SUM(C5+C14+C18+C22+C28+C36+C40+C44+C46)</f>
        <v>23159562.822857141</v>
      </c>
      <c r="D49" s="69">
        <f>C49*'Input data'!$C$11</f>
        <v>12158770482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>
        <f t="shared" si="3"/>
        <v>0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>
        <f t="shared" si="2"/>
        <v>0</v>
      </c>
      <c r="AF49" s="118">
        <f t="shared" si="1"/>
        <v>12158770482</v>
      </c>
    </row>
    <row r="50" spans="1:32">
      <c r="B50" s="5" t="s">
        <v>36</v>
      </c>
      <c r="C50" s="65">
        <f>C49/'Input data'!$C$5</f>
        <v>705.95509427717923</v>
      </c>
      <c r="D50" s="59">
        <f>D49/'Input data'!$C$5</f>
        <v>370626.42449551914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>
        <f t="shared" si="3"/>
        <v>0</v>
      </c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>
        <f t="shared" si="2"/>
        <v>0</v>
      </c>
      <c r="AF50" s="118"/>
    </row>
    <row r="51" spans="1:32"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>
        <f t="shared" si="3"/>
        <v>0</v>
      </c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>
        <f t="shared" si="2"/>
        <v>0</v>
      </c>
      <c r="AF51" s="118" t="str">
        <f t="shared" si="1"/>
        <v/>
      </c>
    </row>
    <row r="52" spans="1:32">
      <c r="B52" s="11" t="s">
        <v>80</v>
      </c>
      <c r="C52" s="62">
        <f>C49*C53</f>
        <v>463191.25645714282</v>
      </c>
      <c r="D52" s="63">
        <f>D49*D53</f>
        <v>243175409.64000002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>
        <f t="shared" si="3"/>
        <v>0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>
        <f t="shared" si="2"/>
        <v>0</v>
      </c>
      <c r="AF52" s="118">
        <f t="shared" si="1"/>
        <v>243175409.64000002</v>
      </c>
    </row>
    <row r="53" spans="1:32">
      <c r="B53" s="11" t="s">
        <v>37</v>
      </c>
      <c r="C53" s="70">
        <v>0.02</v>
      </c>
      <c r="D53" s="70">
        <f>C53</f>
        <v>0.02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>
        <f t="shared" si="3"/>
        <v>0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>
        <f t="shared" si="2"/>
        <v>0</v>
      </c>
      <c r="AF53" s="118"/>
    </row>
    <row r="54" spans="1:32">
      <c r="B54" s="11"/>
      <c r="C54" s="70"/>
      <c r="D54" s="70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>
        <f t="shared" si="3"/>
        <v>0</v>
      </c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>
        <f t="shared" si="2"/>
        <v>0</v>
      </c>
      <c r="AF54" s="118" t="str">
        <f t="shared" si="1"/>
        <v/>
      </c>
    </row>
    <row r="55" spans="1:32" ht="25.5">
      <c r="A55" s="106">
        <v>10</v>
      </c>
      <c r="B55" s="435" t="s">
        <v>163</v>
      </c>
      <c r="C55" s="104">
        <f>SUM(C56:C58)</f>
        <v>26876190.476190478</v>
      </c>
      <c r="D55" s="105">
        <f>C55*'Input data'!$C$11</f>
        <v>14110000000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>
        <f t="shared" si="3"/>
        <v>0</v>
      </c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>
        <f t="shared" si="2"/>
        <v>0</v>
      </c>
      <c r="AF55" s="118"/>
    </row>
    <row r="56" spans="1:32">
      <c r="A56" s="64" t="s">
        <v>44</v>
      </c>
      <c r="B56" s="5" t="s">
        <v>193</v>
      </c>
      <c r="C56" s="65">
        <f>14000000000/'Input data'!C11</f>
        <v>26666666.666666668</v>
      </c>
      <c r="D56" s="59">
        <f>C56*'Input data'!$C$11</f>
        <v>14000000000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>
        <f t="shared" si="3"/>
        <v>0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>
        <f t="shared" si="2"/>
        <v>0</v>
      </c>
      <c r="AF56" s="118">
        <f t="shared" si="1"/>
        <v>14000000000</v>
      </c>
    </row>
    <row r="57" spans="1:32">
      <c r="A57" s="64" t="s">
        <v>45</v>
      </c>
      <c r="B57" s="5" t="s">
        <v>194</v>
      </c>
      <c r="C57" s="65">
        <f>110000000/'Input data'!C11</f>
        <v>209523.80952380953</v>
      </c>
      <c r="D57" s="59">
        <f>C57*'Input data'!$C$11</f>
        <v>110000000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>
        <f t="shared" si="3"/>
        <v>0</v>
      </c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>
        <f t="shared" si="2"/>
        <v>0</v>
      </c>
      <c r="AF57" s="118">
        <f t="shared" si="1"/>
        <v>110000000</v>
      </c>
    </row>
    <row r="58" spans="1:32">
      <c r="A58" s="64"/>
      <c r="B58" s="5"/>
      <c r="C58" s="65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>
        <f t="shared" si="3"/>
        <v>0</v>
      </c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>
        <f t="shared" si="2"/>
        <v>0</v>
      </c>
      <c r="AF58" s="118" t="str">
        <f t="shared" si="1"/>
        <v/>
      </c>
    </row>
    <row r="59" spans="1:32"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>
        <f t="shared" si="3"/>
        <v>0</v>
      </c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>
        <f t="shared" si="2"/>
        <v>0</v>
      </c>
      <c r="AF59" s="118" t="str">
        <f t="shared" si="1"/>
        <v/>
      </c>
    </row>
    <row r="60" spans="1:32">
      <c r="A60" s="109"/>
      <c r="B60" s="110" t="s">
        <v>1</v>
      </c>
      <c r="C60" s="78">
        <f>SUM(C49,C52,C55)</f>
        <v>50498944.555504762</v>
      </c>
      <c r="D60" s="69">
        <f>C60*'Input data'!$C$11</f>
        <v>26511945891.639999</v>
      </c>
      <c r="E60" s="69">
        <f t="shared" ref="E60:AE60" si="4">SUM(E5:E59)</f>
        <v>155517139.19999999</v>
      </c>
      <c r="F60" s="69">
        <f t="shared" si="4"/>
        <v>26000000</v>
      </c>
      <c r="G60" s="69">
        <f t="shared" si="4"/>
        <v>0</v>
      </c>
      <c r="H60" s="69">
        <f t="shared" si="4"/>
        <v>38839046.399999999</v>
      </c>
      <c r="I60" s="69">
        <f t="shared" si="4"/>
        <v>0</v>
      </c>
      <c r="J60" s="69">
        <f t="shared" si="4"/>
        <v>38839046.399999999</v>
      </c>
      <c r="K60" s="69">
        <f t="shared" si="4"/>
        <v>0</v>
      </c>
      <c r="L60" s="69">
        <f t="shared" si="4"/>
        <v>0</v>
      </c>
      <c r="M60" s="69">
        <f t="shared" si="4"/>
        <v>0</v>
      </c>
      <c r="N60" s="69">
        <f t="shared" si="4"/>
        <v>0</v>
      </c>
      <c r="O60" s="69">
        <f t="shared" si="4"/>
        <v>0</v>
      </c>
      <c r="P60" s="69">
        <f t="shared" si="4"/>
        <v>0</v>
      </c>
      <c r="Q60" s="69">
        <f t="shared" si="4"/>
        <v>0</v>
      </c>
      <c r="R60" s="69">
        <f t="shared" si="4"/>
        <v>103678092.8</v>
      </c>
      <c r="S60" s="69">
        <f t="shared" si="4"/>
        <v>0</v>
      </c>
      <c r="T60" s="69">
        <f t="shared" si="4"/>
        <v>0</v>
      </c>
      <c r="U60" s="69">
        <f t="shared" si="4"/>
        <v>0</v>
      </c>
      <c r="V60" s="69">
        <f t="shared" si="4"/>
        <v>0</v>
      </c>
      <c r="W60" s="69">
        <f t="shared" si="4"/>
        <v>0</v>
      </c>
      <c r="X60" s="69">
        <f t="shared" si="4"/>
        <v>0</v>
      </c>
      <c r="Y60" s="69">
        <f t="shared" si="4"/>
        <v>0</v>
      </c>
      <c r="Z60" s="69">
        <f t="shared" si="4"/>
        <v>0</v>
      </c>
      <c r="AA60" s="69">
        <f t="shared" si="4"/>
        <v>0</v>
      </c>
      <c r="AB60" s="69">
        <f t="shared" si="4"/>
        <v>0</v>
      </c>
      <c r="AC60" s="69">
        <f t="shared" si="4"/>
        <v>0</v>
      </c>
      <c r="AD60" s="69">
        <f t="shared" si="4"/>
        <v>0</v>
      </c>
      <c r="AE60" s="122">
        <f t="shared" si="4"/>
        <v>0</v>
      </c>
      <c r="AF60" s="118">
        <f t="shared" si="1"/>
        <v>26252750659.639999</v>
      </c>
    </row>
    <row r="61" spans="1:32">
      <c r="B61" s="5" t="s">
        <v>38</v>
      </c>
      <c r="C61" s="65">
        <f>C60/'Input data'!C5</f>
        <v>1539.320385158348</v>
      </c>
      <c r="D61" s="59">
        <f>D60/'Input data'!$C$5</f>
        <v>808143.2022081326</v>
      </c>
    </row>
    <row r="65" spans="2:4">
      <c r="B65" s="87" t="s">
        <v>158</v>
      </c>
      <c r="C65" s="62">
        <v>9900000</v>
      </c>
      <c r="D65" s="63">
        <f>C65*'Input data'!$C$11</f>
        <v>5197500000</v>
      </c>
    </row>
    <row r="66" spans="2:4">
      <c r="B66" s="87" t="s">
        <v>159</v>
      </c>
      <c r="C66" s="62">
        <f>C60-C65</f>
        <v>40598944.555504762</v>
      </c>
      <c r="D66" s="63">
        <f>C66*'Input data'!$C$11</f>
        <v>21314445891.639999</v>
      </c>
    </row>
    <row r="67" spans="2:4">
      <c r="B67" s="87" t="s">
        <v>160</v>
      </c>
    </row>
    <row r="69" spans="2:4">
      <c r="D69" s="91"/>
    </row>
  </sheetData>
  <phoneticPr fontId="6" type="noConversion"/>
  <pageMargins left="0.31496062992125984" right="0.31496062992125984" top="0.35433070866141736" bottom="0.35433070866141736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4"/>
  <sheetViews>
    <sheetView zoomScale="110" zoomScaleNormal="11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F26" sqref="F26"/>
    </sheetView>
  </sheetViews>
  <sheetFormatPr defaultRowHeight="15" outlineLevelRow="1" outlineLevelCol="1"/>
  <cols>
    <col min="2" max="2" width="39.5" style="15" customWidth="1"/>
    <col min="3" max="3" width="11.375" customWidth="1"/>
    <col min="4" max="4" width="11.75" bestFit="1" customWidth="1"/>
    <col min="5" max="5" width="6.625" style="3" customWidth="1"/>
    <col min="6" max="7" width="9" style="3" customWidth="1" outlineLevel="1"/>
    <col min="8" max="9" width="9.875" style="3" bestFit="1" customWidth="1" outlineLevel="1"/>
    <col min="10" max="17" width="9" style="3" customWidth="1" outlineLevel="1"/>
    <col min="18" max="18" width="9.875" style="3" bestFit="1" customWidth="1"/>
    <col min="19" max="30" width="9" style="3" customWidth="1" outlineLevel="1"/>
    <col min="31" max="31" width="9.875" style="3" bestFit="1" customWidth="1"/>
    <col min="32" max="32" width="10.25" style="127" bestFit="1" customWidth="1"/>
  </cols>
  <sheetData>
    <row r="1" spans="1:33" ht="21">
      <c r="A1" s="92" t="s">
        <v>39</v>
      </c>
      <c r="C1" s="14">
        <f>(1+$D$1)</f>
        <v>1</v>
      </c>
      <c r="D1" s="2">
        <v>0</v>
      </c>
    </row>
    <row r="3" spans="1:33">
      <c r="A3" s="17" t="s">
        <v>40</v>
      </c>
      <c r="B3" s="17" t="s">
        <v>13</v>
      </c>
      <c r="C3" s="17" t="s">
        <v>14</v>
      </c>
      <c r="D3" s="18" t="s">
        <v>32</v>
      </c>
      <c r="E3" s="100" t="s">
        <v>209</v>
      </c>
      <c r="F3" s="99">
        <v>45658</v>
      </c>
      <c r="G3" s="99">
        <v>45689</v>
      </c>
      <c r="H3" s="99">
        <v>45717</v>
      </c>
      <c r="I3" s="99">
        <v>45748</v>
      </c>
      <c r="J3" s="99">
        <v>45778</v>
      </c>
      <c r="K3" s="99">
        <v>45809</v>
      </c>
      <c r="L3" s="99">
        <v>45839</v>
      </c>
      <c r="M3" s="99">
        <v>45870</v>
      </c>
      <c r="N3" s="99">
        <v>45901</v>
      </c>
      <c r="O3" s="99">
        <v>45931</v>
      </c>
      <c r="P3" s="99">
        <v>45962</v>
      </c>
      <c r="Q3" s="99">
        <v>45992</v>
      </c>
      <c r="R3" s="100" t="s">
        <v>201</v>
      </c>
      <c r="S3" s="99">
        <v>46023</v>
      </c>
      <c r="T3" s="99">
        <v>46054</v>
      </c>
      <c r="U3" s="99">
        <v>46082</v>
      </c>
      <c r="V3" s="99">
        <v>46113</v>
      </c>
      <c r="W3" s="99">
        <v>46143</v>
      </c>
      <c r="X3" s="99">
        <v>46174</v>
      </c>
      <c r="Y3" s="99">
        <v>46204</v>
      </c>
      <c r="Z3" s="99">
        <v>46235</v>
      </c>
      <c r="AA3" s="99">
        <v>46266</v>
      </c>
      <c r="AB3" s="99">
        <v>46296</v>
      </c>
      <c r="AC3" s="99">
        <v>46327</v>
      </c>
      <c r="AD3" s="99">
        <v>46357</v>
      </c>
      <c r="AE3" s="100" t="s">
        <v>200</v>
      </c>
    </row>
    <row r="4" spans="1:33" ht="14.25">
      <c r="A4" s="112">
        <v>1</v>
      </c>
      <c r="B4" s="103" t="s">
        <v>75</v>
      </c>
      <c r="C4" s="113">
        <f>SUM(C5:C6)</f>
        <v>1018285.7142857143</v>
      </c>
      <c r="D4" s="114">
        <f>SUM(D5:D6)</f>
        <v>534600000</v>
      </c>
      <c r="E4" s="120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0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0"/>
      <c r="AF4" s="118"/>
    </row>
    <row r="5" spans="1:33" ht="14.25" outlineLevel="1">
      <c r="A5" s="19" t="s">
        <v>6</v>
      </c>
      <c r="B5" s="16" t="s">
        <v>46</v>
      </c>
      <c r="C5" s="20">
        <f>'ФОТ строит'!H33/'Input data'!C11</f>
        <v>1018285.7142857143</v>
      </c>
      <c r="D5" s="12">
        <f>C5*'Input data'!$C$11</f>
        <v>534600000</v>
      </c>
      <c r="E5" s="121"/>
      <c r="F5" s="47">
        <f>'ФОТ строит'!$H$33/12</f>
        <v>44550000</v>
      </c>
      <c r="G5" s="47">
        <f>F5</f>
        <v>44550000</v>
      </c>
      <c r="H5" s="47">
        <f t="shared" ref="H5:P5" si="0">G5</f>
        <v>44550000</v>
      </c>
      <c r="I5" s="47">
        <f t="shared" si="0"/>
        <v>44550000</v>
      </c>
      <c r="J5" s="47">
        <f t="shared" si="0"/>
        <v>44550000</v>
      </c>
      <c r="K5" s="47">
        <f t="shared" si="0"/>
        <v>44550000</v>
      </c>
      <c r="L5" s="47">
        <f t="shared" si="0"/>
        <v>44550000</v>
      </c>
      <c r="M5" s="47">
        <f t="shared" si="0"/>
        <v>44550000</v>
      </c>
      <c r="N5" s="47">
        <f t="shared" si="0"/>
        <v>44550000</v>
      </c>
      <c r="O5" s="47">
        <f t="shared" si="0"/>
        <v>44550000</v>
      </c>
      <c r="P5" s="47">
        <f t="shared" si="0"/>
        <v>44550000</v>
      </c>
      <c r="Q5" s="47">
        <f>'ФОТ строит'!$H$33/12</f>
        <v>44550000</v>
      </c>
      <c r="R5" s="121">
        <f t="shared" ref="R5:R38" si="1">SUM(F5:Q5)</f>
        <v>534600000</v>
      </c>
      <c r="S5" s="47">
        <f>Q5*1.1</f>
        <v>49005000.000000007</v>
      </c>
      <c r="T5" s="47">
        <f>S5</f>
        <v>49005000.000000007</v>
      </c>
      <c r="U5" s="47">
        <f t="shared" ref="U5:AD5" si="2">T5</f>
        <v>49005000.000000007</v>
      </c>
      <c r="V5" s="47">
        <f t="shared" si="2"/>
        <v>49005000.000000007</v>
      </c>
      <c r="W5" s="47">
        <f t="shared" si="2"/>
        <v>49005000.000000007</v>
      </c>
      <c r="X5" s="47">
        <f t="shared" si="2"/>
        <v>49005000.000000007</v>
      </c>
      <c r="Y5" s="47">
        <f t="shared" si="2"/>
        <v>49005000.000000007</v>
      </c>
      <c r="Z5" s="47">
        <f t="shared" si="2"/>
        <v>49005000.000000007</v>
      </c>
      <c r="AA5" s="47">
        <f t="shared" si="2"/>
        <v>49005000.000000007</v>
      </c>
      <c r="AB5" s="47">
        <f t="shared" si="2"/>
        <v>49005000.000000007</v>
      </c>
      <c r="AC5" s="47">
        <f t="shared" si="2"/>
        <v>49005000.000000007</v>
      </c>
      <c r="AD5" s="47">
        <f t="shared" si="2"/>
        <v>49005000.000000007</v>
      </c>
      <c r="AE5" s="121">
        <f t="shared" ref="AE5:AE38" si="3">SUM(S5:AD5)</f>
        <v>588060000.00000012</v>
      </c>
      <c r="AF5" s="118" t="str">
        <f t="shared" ref="AF5" si="4">IF(D5-R5=0,"",D5-R5)</f>
        <v/>
      </c>
      <c r="AG5" s="118">
        <f t="shared" ref="AG5" si="5">IF(D5-AE5=0,"",D5-AE5)</f>
        <v>-53460000.000000119</v>
      </c>
    </row>
    <row r="6" spans="1:33" ht="14.25" outlineLevel="1">
      <c r="A6" s="19" t="s">
        <v>7</v>
      </c>
      <c r="B6" s="16" t="s">
        <v>42</v>
      </c>
      <c r="C6" s="20"/>
      <c r="D6" s="12">
        <f>C6*'Input data'!$C$11</f>
        <v>0</v>
      </c>
      <c r="E6" s="121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21">
        <f t="shared" si="1"/>
        <v>0</v>
      </c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121">
        <f t="shared" si="3"/>
        <v>0</v>
      </c>
      <c r="AF6" s="118" t="str">
        <f t="shared" ref="AF6:AF41" si="6">IF(D6-R6=0,"",D6-R6)</f>
        <v/>
      </c>
      <c r="AG6" s="118" t="str">
        <f t="shared" ref="AG6:AG41" si="7">IF(D6-AE6=0,"",D6-AE6)</f>
        <v/>
      </c>
    </row>
    <row r="7" spans="1:33" ht="15.75" outlineLevel="1">
      <c r="A7" s="134">
        <v>3</v>
      </c>
      <c r="B7" s="135" t="s">
        <v>219</v>
      </c>
      <c r="F7" s="136">
        <v>19000000</v>
      </c>
      <c r="G7" s="137">
        <v>35000000</v>
      </c>
      <c r="H7" s="138">
        <v>35000000</v>
      </c>
      <c r="I7" s="139">
        <v>35000000</v>
      </c>
      <c r="K7" s="140">
        <v>35000000</v>
      </c>
      <c r="L7" s="141">
        <v>35000000</v>
      </c>
      <c r="M7" s="142">
        <v>35000000</v>
      </c>
      <c r="N7" s="143">
        <v>35000000</v>
      </c>
      <c r="O7" s="141">
        <v>35000000</v>
      </c>
      <c r="P7" s="144">
        <v>35000000</v>
      </c>
      <c r="Q7" s="145">
        <v>35000000</v>
      </c>
      <c r="S7" s="137">
        <v>35000000</v>
      </c>
      <c r="T7" s="136">
        <v>35000000</v>
      </c>
      <c r="U7" s="146">
        <v>35000000</v>
      </c>
      <c r="V7" s="137">
        <v>35000000</v>
      </c>
      <c r="X7" s="47"/>
      <c r="Y7" s="47"/>
      <c r="Z7" s="47"/>
      <c r="AA7" s="47"/>
      <c r="AB7" s="47"/>
      <c r="AC7" s="47"/>
      <c r="AD7" s="47"/>
      <c r="AE7" s="121"/>
      <c r="AF7" s="147" t="s">
        <v>218</v>
      </c>
      <c r="AG7" s="118"/>
    </row>
    <row r="8" spans="1:33" ht="14.25" outlineLevel="1">
      <c r="A8" s="19"/>
      <c r="B8" s="16"/>
      <c r="C8" s="20"/>
      <c r="D8" s="12"/>
      <c r="E8" s="121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121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121"/>
      <c r="AF8" s="118"/>
      <c r="AG8" s="118"/>
    </row>
    <row r="9" spans="1:33" ht="14.25">
      <c r="A9" s="112">
        <v>2</v>
      </c>
      <c r="B9" s="103" t="s">
        <v>76</v>
      </c>
      <c r="C9" s="113">
        <f>SUM(C10:C11)</f>
        <v>19067.428571428572</v>
      </c>
      <c r="D9" s="114">
        <f>SUM(D10:D11)</f>
        <v>10010400</v>
      </c>
      <c r="E9" s="120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0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0"/>
      <c r="AF9" s="118"/>
    </row>
    <row r="10" spans="1:33" ht="14.25" outlineLevel="1">
      <c r="A10" s="19" t="s">
        <v>9</v>
      </c>
      <c r="B10" s="16" t="s">
        <v>60</v>
      </c>
      <c r="C10" s="48">
        <f>3693000*2/'Input data'!$C$11</f>
        <v>14068.571428571429</v>
      </c>
      <c r="D10" s="12">
        <f>C10*'Input data'!$C$11</f>
        <v>7386000</v>
      </c>
      <c r="E10" s="12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121">
        <f t="shared" si="1"/>
        <v>0</v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121">
        <f t="shared" si="3"/>
        <v>0</v>
      </c>
      <c r="AF10" s="118">
        <f t="shared" si="6"/>
        <v>7386000</v>
      </c>
      <c r="AG10" s="118">
        <f t="shared" si="7"/>
        <v>7386000</v>
      </c>
    </row>
    <row r="11" spans="1:33" ht="14.25" outlineLevel="1">
      <c r="A11" s="19" t="s">
        <v>10</v>
      </c>
      <c r="B11" s="16" t="s">
        <v>59</v>
      </c>
      <c r="C11" s="20">
        <f>((450*(336+150))*((1+$D$1))*12)/'Input data'!$C$11</f>
        <v>4998.8571428571431</v>
      </c>
      <c r="D11" s="12">
        <f>C11*'Input data'!$C$11</f>
        <v>2624400</v>
      </c>
      <c r="E11" s="121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121">
        <f t="shared" si="1"/>
        <v>0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121">
        <f t="shared" si="3"/>
        <v>0</v>
      </c>
      <c r="AF11" s="118">
        <f t="shared" si="6"/>
        <v>2624400</v>
      </c>
      <c r="AG11" s="118">
        <f t="shared" si="7"/>
        <v>2624400</v>
      </c>
    </row>
    <row r="12" spans="1:33" ht="14.25">
      <c r="A12" s="112">
        <v>3</v>
      </c>
      <c r="B12" s="103" t="s">
        <v>77</v>
      </c>
      <c r="C12" s="113">
        <f>SUM(C13:C14)</f>
        <v>31857.142857142859</v>
      </c>
      <c r="D12" s="114">
        <f>SUM(D13:D14)</f>
        <v>16725000</v>
      </c>
      <c r="E12" s="120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0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0"/>
      <c r="AF12" s="118"/>
    </row>
    <row r="13" spans="1:33" ht="14.25" outlineLevel="1">
      <c r="A13" s="19" t="s">
        <v>11</v>
      </c>
      <c r="B13" s="16" t="s">
        <v>58</v>
      </c>
      <c r="C13" s="20">
        <v>9000</v>
      </c>
      <c r="D13" s="12">
        <f>C13*'Input data'!$C$11</f>
        <v>4725000</v>
      </c>
      <c r="E13" s="121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121">
        <f t="shared" si="1"/>
        <v>0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121">
        <f t="shared" si="3"/>
        <v>0</v>
      </c>
      <c r="AF13" s="118">
        <f t="shared" si="6"/>
        <v>4725000</v>
      </c>
      <c r="AG13" s="118">
        <f t="shared" si="7"/>
        <v>4725000</v>
      </c>
    </row>
    <row r="14" spans="1:33" ht="14.25" outlineLevel="1">
      <c r="A14" s="19" t="s">
        <v>12</v>
      </c>
      <c r="B14" s="16" t="s">
        <v>57</v>
      </c>
      <c r="C14" s="20">
        <f>12000000/'Input data'!C11</f>
        <v>22857.142857142859</v>
      </c>
      <c r="D14" s="12">
        <f>C14*'Input data'!$C$11</f>
        <v>12000000</v>
      </c>
      <c r="E14" s="121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21">
        <f t="shared" si="1"/>
        <v>0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121">
        <f t="shared" si="3"/>
        <v>0</v>
      </c>
      <c r="AF14" s="118">
        <f t="shared" si="6"/>
        <v>12000000</v>
      </c>
      <c r="AG14" s="118">
        <f t="shared" si="7"/>
        <v>12000000</v>
      </c>
    </row>
    <row r="15" spans="1:33" ht="14.25">
      <c r="A15" s="112">
        <v>4</v>
      </c>
      <c r="B15" s="103" t="s">
        <v>78</v>
      </c>
      <c r="C15" s="113">
        <f>SUM(C16:C16)</f>
        <v>2948.5714285714284</v>
      </c>
      <c r="D15" s="114">
        <f>SUM(D16:D16)</f>
        <v>1548000</v>
      </c>
      <c r="E15" s="120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0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0"/>
      <c r="AF15" s="118"/>
    </row>
    <row r="16" spans="1:33" ht="14.25" outlineLevel="1">
      <c r="A16" s="19" t="s">
        <v>15</v>
      </c>
      <c r="B16" s="16" t="s">
        <v>56</v>
      </c>
      <c r="C16" s="24">
        <f>360000*4.3/'Input data'!C11</f>
        <v>2948.5714285714284</v>
      </c>
      <c r="D16" s="12">
        <f>C16*'Input data'!$C$11</f>
        <v>1548000</v>
      </c>
      <c r="E16" s="121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121">
        <f t="shared" si="1"/>
        <v>0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121">
        <f t="shared" si="3"/>
        <v>0</v>
      </c>
      <c r="AF16" s="118">
        <f t="shared" si="6"/>
        <v>1548000</v>
      </c>
      <c r="AG16" s="118">
        <f t="shared" si="7"/>
        <v>1548000</v>
      </c>
    </row>
    <row r="17" spans="1:33" ht="14.25" outlineLevel="1">
      <c r="A17" s="19" t="s">
        <v>189</v>
      </c>
      <c r="B17" s="16" t="s">
        <v>188</v>
      </c>
      <c r="C17" s="24">
        <f>3500000*12/'Input data'!C11</f>
        <v>80000</v>
      </c>
      <c r="D17" s="12">
        <f>C17*'Input data'!$C$11</f>
        <v>42000000</v>
      </c>
      <c r="E17" s="121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21">
        <f t="shared" si="1"/>
        <v>0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121">
        <f t="shared" si="3"/>
        <v>0</v>
      </c>
      <c r="AF17" s="118">
        <f t="shared" si="6"/>
        <v>42000000</v>
      </c>
      <c r="AG17" s="118">
        <f t="shared" si="7"/>
        <v>42000000</v>
      </c>
    </row>
    <row r="18" spans="1:33" ht="14.25">
      <c r="A18" s="112">
        <v>5</v>
      </c>
      <c r="B18" s="103" t="s">
        <v>79</v>
      </c>
      <c r="C18" s="113">
        <f>SUM(C19:C20)</f>
        <v>25000</v>
      </c>
      <c r="D18" s="114">
        <f>SUM(D19:D20)</f>
        <v>13125000</v>
      </c>
      <c r="E18" s="120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0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0"/>
      <c r="AF18" s="118"/>
    </row>
    <row r="19" spans="1:33" ht="14.25" outlineLevel="1">
      <c r="A19" s="19" t="s">
        <v>17</v>
      </c>
      <c r="B19" s="16" t="s">
        <v>55</v>
      </c>
      <c r="C19" s="20">
        <v>10000</v>
      </c>
      <c r="D19" s="12">
        <f>C19*'Input data'!$C$11</f>
        <v>5250000</v>
      </c>
      <c r="E19" s="121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121">
        <f t="shared" si="1"/>
        <v>0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121">
        <f t="shared" si="3"/>
        <v>0</v>
      </c>
      <c r="AF19" s="118">
        <f t="shared" si="6"/>
        <v>5250000</v>
      </c>
      <c r="AG19" s="118">
        <f t="shared" si="7"/>
        <v>5250000</v>
      </c>
    </row>
    <row r="20" spans="1:33" ht="14.25" outlineLevel="1">
      <c r="A20" s="19" t="s">
        <v>18</v>
      </c>
      <c r="B20" s="16" t="s">
        <v>54</v>
      </c>
      <c r="C20" s="20">
        <v>15000</v>
      </c>
      <c r="D20" s="12">
        <f>C20*'Input data'!$C$11</f>
        <v>7875000</v>
      </c>
      <c r="E20" s="121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121">
        <f t="shared" si="1"/>
        <v>0</v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121">
        <f t="shared" si="3"/>
        <v>0</v>
      </c>
      <c r="AF20" s="118">
        <f t="shared" si="6"/>
        <v>7875000</v>
      </c>
      <c r="AG20" s="118">
        <f t="shared" si="7"/>
        <v>7875000</v>
      </c>
    </row>
    <row r="21" spans="1:33" ht="14.25">
      <c r="A21" s="112">
        <v>6</v>
      </c>
      <c r="B21" s="103" t="s">
        <v>204</v>
      </c>
      <c r="C21" s="113">
        <f>SUM(C22:C24)</f>
        <v>17285.714285714286</v>
      </c>
      <c r="D21" s="114">
        <f>SUM(D22:D24)</f>
        <v>9075000</v>
      </c>
      <c r="E21" s="120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0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0"/>
      <c r="AF21" s="118"/>
    </row>
    <row r="22" spans="1:33" ht="14.25" outlineLevel="1">
      <c r="A22" s="19" t="s">
        <v>21</v>
      </c>
      <c r="B22" s="16" t="s">
        <v>53</v>
      </c>
      <c r="C22" s="20">
        <f>5000*((1+$D$1))</f>
        <v>5000</v>
      </c>
      <c r="D22" s="12">
        <f>C22*'Input data'!$C$11</f>
        <v>2625000</v>
      </c>
      <c r="E22" s="121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121">
        <f t="shared" si="1"/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121">
        <f t="shared" si="3"/>
        <v>0</v>
      </c>
      <c r="AF22" s="118">
        <f t="shared" si="6"/>
        <v>2625000</v>
      </c>
      <c r="AG22" s="118">
        <f t="shared" si="7"/>
        <v>2625000</v>
      </c>
    </row>
    <row r="23" spans="1:33" ht="14.25" outlineLevel="1">
      <c r="A23" s="19" t="s">
        <v>22</v>
      </c>
      <c r="B23" s="16" t="s">
        <v>52</v>
      </c>
      <c r="C23" s="20">
        <f>10000*((1+$D$1))</f>
        <v>10000</v>
      </c>
      <c r="D23" s="12">
        <f>C23*'Input data'!$C$11</f>
        <v>5250000</v>
      </c>
      <c r="E23" s="121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121">
        <f t="shared" si="1"/>
        <v>0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121">
        <f t="shared" si="3"/>
        <v>0</v>
      </c>
      <c r="AF23" s="118">
        <f t="shared" si="6"/>
        <v>5250000</v>
      </c>
      <c r="AG23" s="118">
        <f t="shared" si="7"/>
        <v>5250000</v>
      </c>
    </row>
    <row r="24" spans="1:33" ht="14.25" outlineLevel="1">
      <c r="A24" s="19" t="s">
        <v>191</v>
      </c>
      <c r="B24" s="16" t="s">
        <v>51</v>
      </c>
      <c r="C24" s="20">
        <f>1200000/'Input data'!C11</f>
        <v>2285.7142857142858</v>
      </c>
      <c r="D24" s="12">
        <f>C24*'Input data'!$C$11</f>
        <v>1200000</v>
      </c>
      <c r="E24" s="121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121">
        <f t="shared" si="1"/>
        <v>0</v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121">
        <f t="shared" si="3"/>
        <v>0</v>
      </c>
      <c r="AF24" s="118">
        <f t="shared" si="6"/>
        <v>1200000</v>
      </c>
      <c r="AG24" s="118">
        <f t="shared" si="7"/>
        <v>1200000</v>
      </c>
    </row>
    <row r="25" spans="1:33" ht="14.25" outlineLevel="1">
      <c r="A25" s="19" t="s">
        <v>205</v>
      </c>
      <c r="B25" s="16" t="s">
        <v>178</v>
      </c>
      <c r="C25" s="20">
        <f>720000/'Input data'!C11</f>
        <v>1371.4285714285713</v>
      </c>
      <c r="D25" s="12">
        <f>C25*'Input data'!$C$11</f>
        <v>720000</v>
      </c>
      <c r="E25" s="121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121">
        <f t="shared" si="1"/>
        <v>0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121">
        <f t="shared" si="3"/>
        <v>0</v>
      </c>
      <c r="AF25" s="118">
        <f t="shared" si="6"/>
        <v>720000</v>
      </c>
      <c r="AG25" s="118">
        <f t="shared" si="7"/>
        <v>720000</v>
      </c>
    </row>
    <row r="26" spans="1:33" ht="14.25" outlineLevel="1">
      <c r="A26" s="19" t="s">
        <v>206</v>
      </c>
      <c r="B26" s="16" t="s">
        <v>177</v>
      </c>
      <c r="C26" s="20">
        <f>1170000/'Input data'!C11</f>
        <v>2228.5714285714284</v>
      </c>
      <c r="D26" s="12">
        <f>C26*'Input data'!$C$11</f>
        <v>1170000</v>
      </c>
      <c r="E26" s="121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121">
        <f t="shared" si="1"/>
        <v>0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121">
        <f t="shared" si="3"/>
        <v>0</v>
      </c>
      <c r="AF26" s="118">
        <f t="shared" si="6"/>
        <v>1170000</v>
      </c>
      <c r="AG26" s="118">
        <f t="shared" si="7"/>
        <v>1170000</v>
      </c>
    </row>
    <row r="27" spans="1:33" ht="14.25" outlineLevel="1">
      <c r="A27" s="19" t="s">
        <v>207</v>
      </c>
      <c r="B27" s="16" t="s">
        <v>179</v>
      </c>
      <c r="C27" s="20">
        <f>23400000/'Input data'!C11</f>
        <v>44571.428571428572</v>
      </c>
      <c r="D27" s="12">
        <f>C27*'Input data'!$C$11</f>
        <v>23400000</v>
      </c>
      <c r="E27" s="121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121">
        <f t="shared" si="1"/>
        <v>0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121">
        <f t="shared" si="3"/>
        <v>0</v>
      </c>
      <c r="AF27" s="118">
        <f t="shared" si="6"/>
        <v>23400000</v>
      </c>
      <c r="AG27" s="118">
        <f t="shared" si="7"/>
        <v>23400000</v>
      </c>
    </row>
    <row r="28" spans="1:33" ht="14.25">
      <c r="A28" s="112">
        <v>7</v>
      </c>
      <c r="B28" s="103" t="s">
        <v>203</v>
      </c>
      <c r="C28" s="113">
        <f>SUM(C29:C31)</f>
        <v>156666.66666666669</v>
      </c>
      <c r="D28" s="114">
        <f>SUM(D29:D31)</f>
        <v>82250000</v>
      </c>
      <c r="E28" s="120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0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0"/>
      <c r="AF28" s="118"/>
    </row>
    <row r="29" spans="1:33" ht="14.25" outlineLevel="1">
      <c r="A29" s="19" t="s">
        <v>23</v>
      </c>
      <c r="B29" s="16" t="s">
        <v>50</v>
      </c>
      <c r="C29" s="20">
        <f>12000000/'Input data'!C11</f>
        <v>22857.142857142859</v>
      </c>
      <c r="D29" s="12">
        <f>C29*'Input data'!$C$11</f>
        <v>12000000</v>
      </c>
      <c r="E29" s="121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121">
        <f t="shared" si="1"/>
        <v>0</v>
      </c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121">
        <f t="shared" si="3"/>
        <v>0</v>
      </c>
      <c r="AF29" s="118">
        <f t="shared" si="6"/>
        <v>12000000</v>
      </c>
      <c r="AG29" s="118">
        <f t="shared" si="7"/>
        <v>12000000</v>
      </c>
    </row>
    <row r="30" spans="1:33" ht="14.25" outlineLevel="1">
      <c r="A30" s="19" t="s">
        <v>24</v>
      </c>
      <c r="B30" s="16" t="s">
        <v>176</v>
      </c>
      <c r="C30" s="20">
        <f>68000000/'Input data'!C11</f>
        <v>129523.80952380953</v>
      </c>
      <c r="D30" s="12">
        <f>C30*'Input data'!$C$11</f>
        <v>68000000</v>
      </c>
      <c r="E30" s="121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121">
        <f t="shared" si="1"/>
        <v>0</v>
      </c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121">
        <f t="shared" si="3"/>
        <v>0</v>
      </c>
      <c r="AF30" s="118">
        <f t="shared" si="6"/>
        <v>68000000</v>
      </c>
      <c r="AG30" s="118">
        <f t="shared" si="7"/>
        <v>68000000</v>
      </c>
    </row>
    <row r="31" spans="1:33" ht="14.25" outlineLevel="1">
      <c r="A31" s="19" t="s">
        <v>114</v>
      </c>
      <c r="B31" s="16" t="s">
        <v>49</v>
      </c>
      <c r="C31" s="20">
        <f>2250000/'Input data'!C11</f>
        <v>4285.7142857142853</v>
      </c>
      <c r="D31" s="12">
        <f>C31*'Input data'!$C$11</f>
        <v>2250000</v>
      </c>
      <c r="E31" s="121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121">
        <f t="shared" si="1"/>
        <v>0</v>
      </c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121">
        <f t="shared" si="3"/>
        <v>0</v>
      </c>
      <c r="AF31" s="118">
        <f t="shared" si="6"/>
        <v>2250000</v>
      </c>
      <c r="AG31" s="118">
        <f t="shared" si="7"/>
        <v>2250000</v>
      </c>
    </row>
    <row r="32" spans="1:33" ht="14.25">
      <c r="A32" s="112">
        <v>8</v>
      </c>
      <c r="B32" s="103" t="s">
        <v>202</v>
      </c>
      <c r="C32" s="113">
        <f>SUM(C33:C38)</f>
        <v>231904.76190476189</v>
      </c>
      <c r="D32" s="114">
        <f>SUM(D33:D38)</f>
        <v>121750000</v>
      </c>
      <c r="E32" s="120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0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0"/>
      <c r="AF32" s="118"/>
    </row>
    <row r="33" spans="1:33" ht="14.25" outlineLevel="1">
      <c r="A33" s="19" t="s">
        <v>25</v>
      </c>
      <c r="B33" s="16" t="s">
        <v>48</v>
      </c>
      <c r="C33" s="20">
        <f>100000000/'Input data'!C11</f>
        <v>190476.19047619047</v>
      </c>
      <c r="D33" s="12">
        <f>C33*'Input data'!$C$11</f>
        <v>100000000</v>
      </c>
      <c r="E33" s="121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121">
        <f t="shared" si="1"/>
        <v>0</v>
      </c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121">
        <f t="shared" si="3"/>
        <v>0</v>
      </c>
      <c r="AF33" s="118">
        <f t="shared" si="6"/>
        <v>100000000</v>
      </c>
      <c r="AG33" s="118">
        <f t="shared" si="7"/>
        <v>100000000</v>
      </c>
    </row>
    <row r="34" spans="1:33" ht="14.25" outlineLevel="1">
      <c r="A34" s="19"/>
      <c r="B34" s="16"/>
      <c r="C34" s="20"/>
      <c r="D34" s="12"/>
      <c r="E34" s="121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121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121"/>
      <c r="AF34" s="118"/>
      <c r="AG34" s="118"/>
    </row>
    <row r="35" spans="1:33" ht="15.75" outlineLevel="1">
      <c r="A35" s="134">
        <v>6</v>
      </c>
      <c r="B35" s="135" t="s">
        <v>217</v>
      </c>
      <c r="F35" s="136"/>
      <c r="G35" s="137"/>
      <c r="H35" s="138">
        <v>40000000</v>
      </c>
      <c r="I35" s="139">
        <v>30000000</v>
      </c>
      <c r="K35" s="140">
        <v>15000000</v>
      </c>
      <c r="L35" s="141">
        <v>15000000</v>
      </c>
      <c r="M35" s="142"/>
      <c r="N35" s="143"/>
      <c r="O35" s="141"/>
      <c r="P35" s="144"/>
      <c r="Q35" s="145"/>
      <c r="S35" s="137"/>
      <c r="T35" s="136"/>
      <c r="U35" s="146"/>
      <c r="V35" s="137"/>
      <c r="X35" s="47"/>
      <c r="Y35" s="47"/>
      <c r="Z35" s="47"/>
      <c r="AA35" s="47"/>
      <c r="AB35" s="47"/>
      <c r="AC35" s="47"/>
      <c r="AD35" s="47"/>
      <c r="AE35" s="121"/>
      <c r="AF35" s="147"/>
      <c r="AG35" s="118"/>
    </row>
    <row r="36" spans="1:33" ht="14.25" outlineLevel="1">
      <c r="A36" s="19"/>
      <c r="B36" s="16"/>
      <c r="C36" s="20"/>
      <c r="D36" s="12"/>
      <c r="E36" s="121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121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121"/>
      <c r="AF36" s="118"/>
      <c r="AG36" s="118"/>
    </row>
    <row r="37" spans="1:33" ht="14.25" outlineLevel="1">
      <c r="A37" s="19" t="s">
        <v>26</v>
      </c>
      <c r="B37" s="16" t="s">
        <v>195</v>
      </c>
      <c r="C37" s="20">
        <f>6000000/'Input data'!C11</f>
        <v>11428.571428571429</v>
      </c>
      <c r="D37" s="12">
        <f>C37*'Input data'!$C$11</f>
        <v>6000000</v>
      </c>
      <c r="E37" s="121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121">
        <f t="shared" si="1"/>
        <v>0</v>
      </c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121">
        <f t="shared" si="3"/>
        <v>0</v>
      </c>
      <c r="AF37" s="118">
        <f t="shared" si="6"/>
        <v>6000000</v>
      </c>
      <c r="AG37" s="118">
        <f t="shared" si="7"/>
        <v>6000000</v>
      </c>
    </row>
    <row r="38" spans="1:33" ht="14.25" outlineLevel="1">
      <c r="A38" s="19" t="s">
        <v>208</v>
      </c>
      <c r="B38" s="434" t="s">
        <v>47</v>
      </c>
      <c r="C38" s="20">
        <f>30000*((1+$D$1))</f>
        <v>30000</v>
      </c>
      <c r="D38" s="12">
        <f>C38*'Input data'!$C$11</f>
        <v>15750000</v>
      </c>
      <c r="E38" s="121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121">
        <f t="shared" si="1"/>
        <v>0</v>
      </c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121">
        <f t="shared" si="3"/>
        <v>0</v>
      </c>
      <c r="AF38" s="118">
        <f t="shared" si="6"/>
        <v>15750000</v>
      </c>
      <c r="AG38" s="118">
        <f t="shared" si="7"/>
        <v>15750000</v>
      </c>
    </row>
    <row r="39" spans="1:33" ht="14.25" outlineLevel="1">
      <c r="A39" s="19"/>
      <c r="B39" s="16"/>
      <c r="C39" s="20"/>
      <c r="D39" s="12"/>
      <c r="E39" s="12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126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6"/>
      <c r="AF39" s="118" t="str">
        <f t="shared" si="6"/>
        <v/>
      </c>
      <c r="AG39" s="118" t="str">
        <f t="shared" si="7"/>
        <v/>
      </c>
    </row>
    <row r="40" spans="1:33" ht="14.25">
      <c r="E40" s="126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26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6"/>
      <c r="AF40" s="118" t="str">
        <f t="shared" si="6"/>
        <v/>
      </c>
      <c r="AG40" s="118" t="str">
        <f t="shared" si="7"/>
        <v/>
      </c>
    </row>
    <row r="41" spans="1:33">
      <c r="A41" s="117"/>
      <c r="B41" s="101" t="s">
        <v>61</v>
      </c>
      <c r="C41" s="115">
        <f>SUM(C4,C9,C12,C15,C18,C21,C28,C32)</f>
        <v>1503016</v>
      </c>
      <c r="D41" s="116">
        <f>SUM(D4,D9,D12,D15,D18,D21,D28,K17)</f>
        <v>667333400</v>
      </c>
      <c r="E41" s="119">
        <f t="shared" ref="E41:AE41" si="8">SUM(E4:E40)</f>
        <v>0</v>
      </c>
      <c r="F41" s="119">
        <f t="shared" si="8"/>
        <v>63550000</v>
      </c>
      <c r="G41" s="119">
        <f t="shared" si="8"/>
        <v>79550000</v>
      </c>
      <c r="H41" s="119">
        <f t="shared" si="8"/>
        <v>119550000</v>
      </c>
      <c r="I41" s="119">
        <f t="shared" si="8"/>
        <v>109550000</v>
      </c>
      <c r="J41" s="119">
        <f t="shared" si="8"/>
        <v>44550000</v>
      </c>
      <c r="K41" s="119">
        <f t="shared" si="8"/>
        <v>94550000</v>
      </c>
      <c r="L41" s="119">
        <f t="shared" si="8"/>
        <v>94550000</v>
      </c>
      <c r="M41" s="119">
        <f t="shared" si="8"/>
        <v>79550000</v>
      </c>
      <c r="N41" s="119">
        <f t="shared" si="8"/>
        <v>79550000</v>
      </c>
      <c r="O41" s="119">
        <f t="shared" si="8"/>
        <v>79550000</v>
      </c>
      <c r="P41" s="119">
        <f t="shared" si="8"/>
        <v>79550000</v>
      </c>
      <c r="Q41" s="119">
        <f t="shared" si="8"/>
        <v>79550000</v>
      </c>
      <c r="R41" s="119">
        <f t="shared" si="8"/>
        <v>534600000</v>
      </c>
      <c r="S41" s="119">
        <f t="shared" si="8"/>
        <v>84005000</v>
      </c>
      <c r="T41" s="119">
        <f t="shared" si="8"/>
        <v>84005000</v>
      </c>
      <c r="U41" s="119">
        <f t="shared" si="8"/>
        <v>84005000</v>
      </c>
      <c r="V41" s="119">
        <f t="shared" si="8"/>
        <v>84005000</v>
      </c>
      <c r="W41" s="119">
        <f t="shared" si="8"/>
        <v>49005000.000000007</v>
      </c>
      <c r="X41" s="119">
        <f t="shared" si="8"/>
        <v>49005000.000000007</v>
      </c>
      <c r="Y41" s="119">
        <f t="shared" si="8"/>
        <v>49005000.000000007</v>
      </c>
      <c r="Z41" s="119">
        <f t="shared" si="8"/>
        <v>49005000.000000007</v>
      </c>
      <c r="AA41" s="119">
        <f t="shared" si="8"/>
        <v>49005000.000000007</v>
      </c>
      <c r="AB41" s="119">
        <f t="shared" si="8"/>
        <v>49005000.000000007</v>
      </c>
      <c r="AC41" s="119">
        <f t="shared" si="8"/>
        <v>49005000.000000007</v>
      </c>
      <c r="AD41" s="119">
        <f t="shared" si="8"/>
        <v>49005000.000000007</v>
      </c>
      <c r="AE41" s="119">
        <f t="shared" si="8"/>
        <v>588060000.00000012</v>
      </c>
      <c r="AF41" s="118">
        <f t="shared" si="6"/>
        <v>132733400</v>
      </c>
      <c r="AG41" s="118">
        <f t="shared" si="7"/>
        <v>79273399.999999881</v>
      </c>
    </row>
    <row r="42" spans="1:33">
      <c r="D42" s="13"/>
      <c r="E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3">
      <c r="B43" s="49" t="s">
        <v>96</v>
      </c>
      <c r="E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3">
      <c r="E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3">
      <c r="E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3">
      <c r="E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3">
      <c r="E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3">
      <c r="E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5:31">
      <c r="E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5:31">
      <c r="E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5:31">
      <c r="E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5:31">
      <c r="E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5:31">
      <c r="E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5:31">
      <c r="E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5:31">
      <c r="E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5:31">
      <c r="E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5:31">
      <c r="E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5:31">
      <c r="E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5:31">
      <c r="E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5:31">
      <c r="E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5:31">
      <c r="E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5:31">
      <c r="E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5:31">
      <c r="E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5:31">
      <c r="E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</sheetData>
  <phoneticPr fontId="6" type="noConversion"/>
  <pageMargins left="0.31496062992125984" right="0.31496062992125984" top="0.35433070866141736" bottom="0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RowHeight="14.25"/>
  <cols>
    <col min="2" max="2" width="40.125" customWidth="1"/>
    <col min="3" max="3" width="6.875" customWidth="1"/>
    <col min="4" max="4" width="10.375" bestFit="1" customWidth="1"/>
    <col min="5" max="5" width="10.625" customWidth="1"/>
    <col min="6" max="8" width="13.5" customWidth="1"/>
    <col min="10" max="10" width="9.875" bestFit="1" customWidth="1"/>
  </cols>
  <sheetData>
    <row r="1" spans="1:8" ht="18.75">
      <c r="A1" s="93" t="str">
        <f>CONCATENATE("Заработная плата ( ",C33," человек, средняя зарплата $",D33,"/месяц)")</f>
        <v>Заработная плата ( 40 человек, средняя зарплата $1751/месяц)</v>
      </c>
    </row>
    <row r="3" spans="1:8" ht="30">
      <c r="B3" s="21" t="s">
        <v>68</v>
      </c>
      <c r="C3" s="21" t="s">
        <v>69</v>
      </c>
      <c r="D3" s="21" t="s">
        <v>82</v>
      </c>
      <c r="E3" s="21" t="s">
        <v>169</v>
      </c>
      <c r="F3" s="21" t="s">
        <v>84</v>
      </c>
      <c r="G3" s="21" t="s">
        <v>83</v>
      </c>
      <c r="H3" s="21" t="s">
        <v>85</v>
      </c>
    </row>
    <row r="4" spans="1:8">
      <c r="B4" s="22" t="s">
        <v>65</v>
      </c>
      <c r="C4" s="23"/>
      <c r="D4" s="23"/>
      <c r="E4" s="23"/>
      <c r="F4" s="46">
        <v>0</v>
      </c>
      <c r="G4" s="46">
        <v>0.35</v>
      </c>
      <c r="H4" s="23"/>
    </row>
    <row r="5" spans="1:8">
      <c r="B5" s="5" t="s">
        <v>125</v>
      </c>
      <c r="C5" s="43">
        <v>1</v>
      </c>
      <c r="D5" s="20">
        <f>2000000/'Input data'!$C$11</f>
        <v>3809.5238095238096</v>
      </c>
      <c r="E5" s="20">
        <f>D5*12*C5</f>
        <v>45714.285714285717</v>
      </c>
      <c r="F5" s="12">
        <f>(E5*'Input data'!$C$11)*F$4</f>
        <v>0</v>
      </c>
      <c r="G5" s="12">
        <f>((E5*'Input data'!$C$11)+F5)*G$4</f>
        <v>8400000</v>
      </c>
      <c r="H5" s="12">
        <f>(E5*'Input data'!$C$11)+F5+G5</f>
        <v>32400000</v>
      </c>
    </row>
    <row r="6" spans="1:8">
      <c r="B6" s="5" t="s">
        <v>165</v>
      </c>
      <c r="C6" s="43">
        <v>1</v>
      </c>
      <c r="D6" s="20">
        <f>2000000/'Input data'!$C$11</f>
        <v>3809.5238095238096</v>
      </c>
      <c r="E6" s="20">
        <f t="shared" ref="E6" si="0">D6*12*C6</f>
        <v>45714.285714285717</v>
      </c>
      <c r="F6" s="12">
        <f>(E6*'Input data'!$C$11)*F$4</f>
        <v>0</v>
      </c>
      <c r="G6" s="12">
        <f>((E6*'Input data'!$C$11)+F6)*G$4</f>
        <v>8400000</v>
      </c>
      <c r="H6" s="12">
        <f>(E6*'Input data'!$C$11)+F6+G6</f>
        <v>32400000</v>
      </c>
    </row>
    <row r="7" spans="1:8">
      <c r="B7" s="5" t="s">
        <v>81</v>
      </c>
      <c r="C7" s="43">
        <v>1</v>
      </c>
      <c r="D7" s="20">
        <f>2000000/'Input data'!$C$11</f>
        <v>3809.5238095238096</v>
      </c>
      <c r="E7" s="20">
        <f t="shared" ref="E7:E23" si="1">D7*12*C7</f>
        <v>45714.285714285717</v>
      </c>
      <c r="F7" s="12">
        <f>(E7*'Input data'!$C$11)*F$4</f>
        <v>0</v>
      </c>
      <c r="G7" s="12">
        <f>((E7*'Input data'!$C$11)+F7)*G$4</f>
        <v>8400000</v>
      </c>
      <c r="H7" s="12">
        <f>(E7*'Input data'!$C$11)+F7+G7</f>
        <v>32400000</v>
      </c>
    </row>
    <row r="8" spans="1:8">
      <c r="B8" s="5" t="s">
        <v>166</v>
      </c>
      <c r="C8" s="43">
        <v>1</v>
      </c>
      <c r="D8" s="20">
        <f>1500000/'Input data'!$C$11</f>
        <v>2857.1428571428573</v>
      </c>
      <c r="E8" s="20">
        <f t="shared" ref="E8" si="2">D8*12*C8</f>
        <v>34285.71428571429</v>
      </c>
      <c r="F8" s="12">
        <f>(E8*'Input data'!$C$11)*F$4</f>
        <v>0</v>
      </c>
      <c r="G8" s="12">
        <f>((E8*'Input data'!$C$11)+F8)*G$4</f>
        <v>6300000.0000000009</v>
      </c>
      <c r="H8" s="12">
        <f>(E8*'Input data'!$C$11)+F8+G8</f>
        <v>24300000.000000004</v>
      </c>
    </row>
    <row r="9" spans="1:8">
      <c r="B9" s="5" t="s">
        <v>123</v>
      </c>
      <c r="C9" s="43">
        <v>1</v>
      </c>
      <c r="D9" s="20">
        <f>1000000/'Input data'!$C$11</f>
        <v>1904.7619047619048</v>
      </c>
      <c r="E9" s="20">
        <f t="shared" ref="E9" si="3">D9*12*C9</f>
        <v>22857.142857142859</v>
      </c>
      <c r="F9" s="12">
        <f>(E9*'Input data'!$C$11)*F$4</f>
        <v>0</v>
      </c>
      <c r="G9" s="12">
        <f>((E9*'Input data'!$C$11)+F9)*G$4</f>
        <v>4200000</v>
      </c>
      <c r="H9" s="12">
        <f>(E9*'Input data'!$C$11)+F9+G9</f>
        <v>16200000</v>
      </c>
    </row>
    <row r="10" spans="1:8">
      <c r="B10" s="5" t="s">
        <v>167</v>
      </c>
      <c r="C10" s="43">
        <v>1</v>
      </c>
      <c r="D10" s="20">
        <f>1300000/'Input data'!$C$11</f>
        <v>2476.1904761904761</v>
      </c>
      <c r="E10" s="20">
        <f t="shared" si="1"/>
        <v>29714.285714285714</v>
      </c>
      <c r="F10" s="12">
        <f>(E10*'Input data'!$C$11)*F$4</f>
        <v>0</v>
      </c>
      <c r="G10" s="12">
        <f>((E10*'Input data'!$C$11)+F10)*G$4</f>
        <v>5460000</v>
      </c>
      <c r="H10" s="12">
        <f>(E10*'Input data'!$C$11)+F10+G10</f>
        <v>21060000</v>
      </c>
    </row>
    <row r="11" spans="1:8">
      <c r="B11" s="5" t="s">
        <v>168</v>
      </c>
      <c r="C11" s="43">
        <v>3</v>
      </c>
      <c r="D11" s="20">
        <f>900000/'Input data'!$C$11</f>
        <v>1714.2857142857142</v>
      </c>
      <c r="E11" s="20">
        <f t="shared" ref="E11:E13" si="4">D11*12*C11</f>
        <v>61714.285714285717</v>
      </c>
      <c r="F11" s="12">
        <f>(E11*'Input data'!$C$11)*F$4</f>
        <v>0</v>
      </c>
      <c r="G11" s="12">
        <f>((E11*'Input data'!$C$11)+F11)*G$4</f>
        <v>11340000</v>
      </c>
      <c r="H11" s="12">
        <f>(E11*'Input data'!$C$11)+F11+G11</f>
        <v>43740000</v>
      </c>
    </row>
    <row r="12" spans="1:8">
      <c r="B12" s="5" t="s">
        <v>335</v>
      </c>
      <c r="C12" s="43">
        <v>1</v>
      </c>
      <c r="D12" s="20">
        <f>900000/'Input data'!$C$11</f>
        <v>1714.2857142857142</v>
      </c>
      <c r="E12" s="20">
        <f t="shared" ref="E12" si="5">D12*12*C12</f>
        <v>20571.428571428572</v>
      </c>
      <c r="F12" s="12">
        <f>(E12*'Input data'!$C$11)*F$4</f>
        <v>0</v>
      </c>
      <c r="G12" s="12">
        <f>((E12*'Input data'!$C$11)+F12)*G$4</f>
        <v>3779999.9999999995</v>
      </c>
      <c r="H12" s="12">
        <f>(E12*'Input data'!$C$11)+F12+G12</f>
        <v>14580000</v>
      </c>
    </row>
    <row r="13" spans="1:8">
      <c r="B13" s="5" t="s">
        <v>334</v>
      </c>
      <c r="C13" s="43">
        <v>1</v>
      </c>
      <c r="D13" s="20">
        <f>800000/'Input data'!$C$11</f>
        <v>1523.8095238095239</v>
      </c>
      <c r="E13" s="20">
        <f t="shared" si="4"/>
        <v>18285.714285714286</v>
      </c>
      <c r="F13" s="12">
        <f>(E13*'Input data'!$C$11)*F$4</f>
        <v>0</v>
      </c>
      <c r="G13" s="12">
        <f>((E13*'Input data'!$C$11)+F13)*G$4</f>
        <v>3360000</v>
      </c>
      <c r="H13" s="12">
        <f>(E13*'Input data'!$C$11)+F13+G13</f>
        <v>12960000</v>
      </c>
    </row>
    <row r="14" spans="1:8">
      <c r="B14" s="5" t="s">
        <v>170</v>
      </c>
      <c r="C14" s="43">
        <v>2</v>
      </c>
      <c r="D14" s="20">
        <f>800000/'Input data'!$C$11</f>
        <v>1523.8095238095239</v>
      </c>
      <c r="E14" s="20">
        <f t="shared" ref="E14:E15" si="6">D14*12*C14</f>
        <v>36571.428571428572</v>
      </c>
      <c r="F14" s="12">
        <f>(E14*'Input data'!$C$11)*F$4</f>
        <v>0</v>
      </c>
      <c r="G14" s="12">
        <f>((E14*'Input data'!$C$11)+F14)*G$4</f>
        <v>6720000</v>
      </c>
      <c r="H14" s="12">
        <f>(E14*'Input data'!$C$11)+F14+G14</f>
        <v>25920000</v>
      </c>
    </row>
    <row r="15" spans="1:8">
      <c r="B15" s="5" t="s">
        <v>333</v>
      </c>
      <c r="C15" s="43">
        <v>2</v>
      </c>
      <c r="D15" s="20">
        <f>800000/'Input data'!$C$11</f>
        <v>1523.8095238095239</v>
      </c>
      <c r="E15" s="20">
        <f t="shared" si="6"/>
        <v>36571.428571428572</v>
      </c>
      <c r="F15" s="12">
        <f>(E15*'Input data'!$C$11)*F$4</f>
        <v>0</v>
      </c>
      <c r="G15" s="12">
        <f>((E15*'Input data'!$C$11)+F15)*G$4</f>
        <v>6720000</v>
      </c>
      <c r="H15" s="12">
        <f>(E15*'Input data'!$C$11)+F15+G15</f>
        <v>25920000</v>
      </c>
    </row>
    <row r="16" spans="1:8">
      <c r="B16" s="5" t="s">
        <v>171</v>
      </c>
      <c r="C16" s="43">
        <v>4</v>
      </c>
      <c r="D16" s="20">
        <f>650000/'Input data'!$C$11</f>
        <v>1238.0952380952381</v>
      </c>
      <c r="E16" s="20">
        <f t="shared" ref="E16:E17" si="7">D16*12*C16</f>
        <v>59428.571428571428</v>
      </c>
      <c r="F16" s="12">
        <f>(E16*'Input data'!$C$11)*F$4</f>
        <v>0</v>
      </c>
      <c r="G16" s="12">
        <f>((E16*'Input data'!$C$11)+F16)*G$4</f>
        <v>10920000</v>
      </c>
      <c r="H16" s="12">
        <f>(E16*'Input data'!$C$11)+F16+G16</f>
        <v>42120000</v>
      </c>
    </row>
    <row r="17" spans="2:8">
      <c r="B17" s="5" t="s">
        <v>172</v>
      </c>
      <c r="C17" s="43">
        <v>1</v>
      </c>
      <c r="D17" s="20">
        <f>800000/'Input data'!$C$11</f>
        <v>1523.8095238095239</v>
      </c>
      <c r="E17" s="20">
        <f t="shared" si="7"/>
        <v>18285.714285714286</v>
      </c>
      <c r="F17" s="12">
        <f>(E17*'Input data'!$C$11)*F$4</f>
        <v>0</v>
      </c>
      <c r="G17" s="12">
        <f>((E17*'Input data'!$C$11)+F17)*G$4</f>
        <v>3360000</v>
      </c>
      <c r="H17" s="12">
        <f>(E17*'Input data'!$C$11)+F17+G17</f>
        <v>12960000</v>
      </c>
    </row>
    <row r="18" spans="2:8">
      <c r="B18" s="5" t="s">
        <v>174</v>
      </c>
      <c r="C18" s="43">
        <v>1</v>
      </c>
      <c r="D18" s="20">
        <f>900000/'Input data'!$C$11</f>
        <v>1714.2857142857142</v>
      </c>
      <c r="E18" s="20">
        <f t="shared" ref="E18" si="8">D18*12*C18</f>
        <v>20571.428571428572</v>
      </c>
      <c r="F18" s="12">
        <f>(E18*'Input data'!$C$11)*F$4</f>
        <v>0</v>
      </c>
      <c r="G18" s="12">
        <f>((E18*'Input data'!$C$11)+F18)*G$4</f>
        <v>3779999.9999999995</v>
      </c>
      <c r="H18" s="12">
        <f>(E18*'Input data'!$C$11)+F18+G18</f>
        <v>14580000</v>
      </c>
    </row>
    <row r="19" spans="2:8">
      <c r="B19" s="5" t="s">
        <v>175</v>
      </c>
      <c r="C19" s="43">
        <v>1</v>
      </c>
      <c r="D19" s="20">
        <f>600000/'Input data'!$C$11</f>
        <v>1142.8571428571429</v>
      </c>
      <c r="E19" s="20">
        <f t="shared" ref="E19" si="9">D19*12*C19</f>
        <v>13714.285714285714</v>
      </c>
      <c r="F19" s="12">
        <f>(E19*'Input data'!$C$11)*F$4</f>
        <v>0</v>
      </c>
      <c r="G19" s="12">
        <f>((E19*'Input data'!$C$11)+F19)*G$4</f>
        <v>2520000</v>
      </c>
      <c r="H19" s="12">
        <f>(E19*'Input data'!$C$11)+F19+G19</f>
        <v>9720000</v>
      </c>
    </row>
    <row r="20" spans="2:8">
      <c r="B20" s="5" t="s">
        <v>197</v>
      </c>
      <c r="C20" s="43">
        <v>2</v>
      </c>
      <c r="D20" s="20">
        <f>1000000/'Input data'!$C$11</f>
        <v>1904.7619047619048</v>
      </c>
      <c r="E20" s="20">
        <f t="shared" ref="E20:E21" si="10">D20*12*C20</f>
        <v>45714.285714285717</v>
      </c>
      <c r="F20" s="12">
        <f>(E20*'Input data'!$C$11)*F$4</f>
        <v>0</v>
      </c>
      <c r="G20" s="12">
        <f>((E20*'Input data'!$C$11)+F20)*G$4</f>
        <v>8400000</v>
      </c>
      <c r="H20" s="12">
        <f>(E20*'Input data'!$C$11)+F20+G20</f>
        <v>32400000</v>
      </c>
    </row>
    <row r="21" spans="2:8">
      <c r="B21" s="5" t="s">
        <v>198</v>
      </c>
      <c r="C21" s="43">
        <v>4</v>
      </c>
      <c r="D21" s="20">
        <f>250000/'Input data'!$C$11</f>
        <v>476.1904761904762</v>
      </c>
      <c r="E21" s="20">
        <f t="shared" si="10"/>
        <v>22857.142857142859</v>
      </c>
      <c r="F21" s="12">
        <f>(E21*'Input data'!$C$11)*F$4</f>
        <v>0</v>
      </c>
      <c r="G21" s="12">
        <f>((E21*'Input data'!$C$11)+F21)*G$4</f>
        <v>4200000</v>
      </c>
      <c r="H21" s="12">
        <f>(E21*'Input data'!$C$11)+F21+G21</f>
        <v>16200000</v>
      </c>
    </row>
    <row r="22" spans="2:8">
      <c r="B22" s="22" t="s">
        <v>66</v>
      </c>
      <c r="C22" s="44"/>
      <c r="D22" s="24"/>
      <c r="E22" s="24"/>
      <c r="F22" s="24"/>
      <c r="G22" s="24"/>
      <c r="H22" s="24"/>
    </row>
    <row r="23" spans="2:8">
      <c r="B23" s="5" t="s">
        <v>332</v>
      </c>
      <c r="C23" s="43">
        <v>1</v>
      </c>
      <c r="D23" s="20">
        <f>1000000/'Input data'!$C$11</f>
        <v>1904.7619047619048</v>
      </c>
      <c r="E23" s="20">
        <f t="shared" si="1"/>
        <v>22857.142857142859</v>
      </c>
      <c r="F23" s="12">
        <f>(E23*'Input data'!$C$11)*F$4</f>
        <v>0</v>
      </c>
      <c r="G23" s="12">
        <f>((E23*'Input data'!$C$11)+F23)*G$4</f>
        <v>4200000</v>
      </c>
      <c r="H23" s="12">
        <f>(E23*'Input data'!$C$11)+F23+G23</f>
        <v>16200000</v>
      </c>
    </row>
    <row r="24" spans="2:8">
      <c r="B24" s="5" t="s">
        <v>173</v>
      </c>
      <c r="C24" s="43">
        <v>1</v>
      </c>
      <c r="D24" s="20">
        <f>650000/'Input data'!$C$11</f>
        <v>1238.0952380952381</v>
      </c>
      <c r="E24" s="20">
        <f t="shared" ref="E24" si="11">D24*12*C24</f>
        <v>14857.142857142857</v>
      </c>
      <c r="F24" s="12">
        <f>(E24*'Input data'!$C$11)*F$4</f>
        <v>0</v>
      </c>
      <c r="G24" s="12">
        <f>((E24*'Input data'!$C$11)+F24)*G$4</f>
        <v>2730000</v>
      </c>
      <c r="H24" s="12">
        <f>(E24*'Input data'!$C$11)+F24+G24</f>
        <v>10530000</v>
      </c>
    </row>
    <row r="25" spans="2:8">
      <c r="B25" s="5" t="s">
        <v>93</v>
      </c>
      <c r="C25" s="43">
        <v>1</v>
      </c>
      <c r="D25" s="20">
        <f>650000/'Input data'!$C$11</f>
        <v>1238.0952380952381</v>
      </c>
      <c r="E25" s="20">
        <f t="shared" ref="E25:E26" si="12">D25*12*C25</f>
        <v>14857.142857142857</v>
      </c>
      <c r="F25" s="12">
        <f>(E25*'Input data'!$C$11)*F$4</f>
        <v>0</v>
      </c>
      <c r="G25" s="12">
        <f>((E25*'Input data'!$C$11)+F25)*G$4</f>
        <v>2730000</v>
      </c>
      <c r="H25" s="12">
        <f>(E25*'Input data'!$C$11)+F25+G25</f>
        <v>10530000</v>
      </c>
    </row>
    <row r="26" spans="2:8">
      <c r="B26" s="5" t="s">
        <v>336</v>
      </c>
      <c r="C26" s="43">
        <v>1</v>
      </c>
      <c r="D26" s="20">
        <f>450000/'Input data'!$C$11</f>
        <v>857.14285714285711</v>
      </c>
      <c r="E26" s="20">
        <f t="shared" si="12"/>
        <v>10285.714285714286</v>
      </c>
      <c r="F26" s="12">
        <f>(E26*'Input data'!$C$11)*F$4</f>
        <v>0</v>
      </c>
      <c r="G26" s="12">
        <f>((E26*'Input data'!$C$11)+F26)*G$4</f>
        <v>1889999.9999999998</v>
      </c>
      <c r="H26" s="12">
        <f>(E26*'Input data'!$C$11)+F26+G26</f>
        <v>7290000</v>
      </c>
    </row>
    <row r="27" spans="2:8">
      <c r="B27" s="5" t="s">
        <v>337</v>
      </c>
      <c r="C27" s="43">
        <v>1</v>
      </c>
      <c r="D27" s="20">
        <f>450000/'Input data'!$C$11</f>
        <v>857.14285714285711</v>
      </c>
      <c r="E27" s="20">
        <f t="shared" ref="E27" si="13">D27*12*C27</f>
        <v>10285.714285714286</v>
      </c>
      <c r="F27" s="12">
        <f>(E27*'Input data'!$C$11)*F$4</f>
        <v>0</v>
      </c>
      <c r="G27" s="12">
        <f>((E27*'Input data'!$C$11)+F27)*G$4</f>
        <v>1889999.9999999998</v>
      </c>
      <c r="H27" s="12">
        <f>(E27*'Input data'!$C$11)+F27+G27</f>
        <v>7290000</v>
      </c>
    </row>
    <row r="28" spans="2:8">
      <c r="B28" s="22" t="s">
        <v>67</v>
      </c>
      <c r="C28" s="44"/>
      <c r="D28" s="24"/>
      <c r="E28" s="24"/>
      <c r="F28" s="24"/>
      <c r="G28" s="24"/>
      <c r="H28" s="24"/>
    </row>
    <row r="29" spans="2:8">
      <c r="B29" s="5" t="s">
        <v>190</v>
      </c>
      <c r="C29" s="43">
        <v>2</v>
      </c>
      <c r="D29" s="20">
        <f>1000000/'Input data'!$C$11</f>
        <v>1904.7619047619048</v>
      </c>
      <c r="E29" s="20">
        <f t="shared" ref="E29" si="14">D29*12*C29</f>
        <v>45714.285714285717</v>
      </c>
      <c r="F29" s="12">
        <f>(E29*'Input data'!$C$11)*F$4</f>
        <v>0</v>
      </c>
      <c r="G29" s="12">
        <f>((E29*'Input data'!$C$11)+F29)*G$4</f>
        <v>8400000</v>
      </c>
      <c r="H29" s="12">
        <f>(E29*'Input data'!$C$11)+F29+G29</f>
        <v>32400000</v>
      </c>
    </row>
    <row r="30" spans="2:8">
      <c r="B30" s="5" t="s">
        <v>70</v>
      </c>
      <c r="C30" s="43">
        <v>1</v>
      </c>
      <c r="D30" s="20">
        <f>500000/'Input data'!$C$11</f>
        <v>952.38095238095241</v>
      </c>
      <c r="E30" s="20">
        <f t="shared" ref="E30" si="15">D30*12*C30</f>
        <v>11428.571428571429</v>
      </c>
      <c r="F30" s="12">
        <f>(E30*'Input data'!$C$11)*F$4</f>
        <v>0</v>
      </c>
      <c r="G30" s="12">
        <f>((E30*'Input data'!$C$11)+F30)*G$4</f>
        <v>2100000</v>
      </c>
      <c r="H30" s="12">
        <f>(E30*'Input data'!$C$11)+F30+G30</f>
        <v>8100000</v>
      </c>
    </row>
    <row r="31" spans="2:8">
      <c r="B31" s="5" t="s">
        <v>86</v>
      </c>
      <c r="C31" s="43">
        <v>2</v>
      </c>
      <c r="D31" s="20">
        <f>550000/'Input data'!$C$11</f>
        <v>1047.6190476190477</v>
      </c>
      <c r="E31" s="20">
        <f t="shared" ref="E31:E32" si="16">D31*12*C31</f>
        <v>25142.857142857145</v>
      </c>
      <c r="F31" s="12">
        <f>(E31*'Input data'!$C$11)*F$4</f>
        <v>0</v>
      </c>
      <c r="G31" s="12">
        <f>((E31*'Input data'!$C$11)+F31)*G$4</f>
        <v>4620000</v>
      </c>
      <c r="H31" s="12">
        <f>(E31*'Input data'!$C$11)+F31+G31</f>
        <v>17820000</v>
      </c>
    </row>
    <row r="32" spans="2:8">
      <c r="B32" s="5" t="s">
        <v>87</v>
      </c>
      <c r="C32" s="43">
        <v>2</v>
      </c>
      <c r="D32" s="20">
        <f>450000/'Input data'!$C$11</f>
        <v>857.14285714285711</v>
      </c>
      <c r="E32" s="20">
        <f t="shared" si="16"/>
        <v>20571.428571428572</v>
      </c>
      <c r="F32" s="12">
        <f>(E32*'Input data'!$C$11)*F$4</f>
        <v>0</v>
      </c>
      <c r="G32" s="12">
        <f>((E32*'Input data'!$C$11)+F32)*G$4</f>
        <v>3779999.9999999995</v>
      </c>
      <c r="H32" s="12">
        <f>(E32*'Input data'!$C$11)+F32+G32</f>
        <v>14580000</v>
      </c>
    </row>
    <row r="33" spans="2:8" ht="15" thickBot="1">
      <c r="B33" s="25"/>
      <c r="C33" s="45">
        <f>SUM(C5:C32)</f>
        <v>40</v>
      </c>
      <c r="D33" s="27">
        <f>ROUND(AVERAGE(D5:D32),0)</f>
        <v>1751</v>
      </c>
      <c r="E33" s="27">
        <f>SUM(E5:E32)</f>
        <v>754285.71428571432</v>
      </c>
      <c r="F33" s="26">
        <f>SUM(F5:F32)</f>
        <v>0</v>
      </c>
      <c r="G33" s="26">
        <f>SUM(G5:G32)</f>
        <v>138600000</v>
      </c>
      <c r="H33" s="26">
        <f>SUM(H5:H32)</f>
        <v>534600000</v>
      </c>
    </row>
    <row r="34" spans="2:8" ht="15" thickTop="1">
      <c r="B34" s="6"/>
    </row>
    <row r="35" spans="2:8">
      <c r="H35" s="97"/>
    </row>
    <row r="41" spans="2:8">
      <c r="B41" s="7" t="s">
        <v>64</v>
      </c>
    </row>
  </sheetData>
  <pageMargins left="0.31496062992125984" right="0.31496062992125984" top="0.35433070866141736" bottom="0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07"/>
  <sheetViews>
    <sheetView zoomScale="90" zoomScaleNormal="90" workbookViewId="0">
      <pane xSplit="4" ySplit="3" topLeftCell="E70" activePane="bottomRight" state="frozen"/>
      <selection pane="topRight" activeCell="E1" sqref="E1"/>
      <selection pane="bottomLeft" activeCell="A4" sqref="A4"/>
      <selection pane="bottomRight" activeCell="F93" sqref="F93"/>
    </sheetView>
  </sheetViews>
  <sheetFormatPr defaultRowHeight="14.25"/>
  <cols>
    <col min="1" max="1" width="31" bestFit="1" customWidth="1"/>
    <col min="2" max="2" width="7.125" bestFit="1" customWidth="1"/>
    <col min="3" max="3" width="16.5" bestFit="1" customWidth="1"/>
    <col min="4" max="5" width="15.625" customWidth="1"/>
    <col min="6" max="6" width="13.5" customWidth="1"/>
    <col min="7" max="7" width="21.375" customWidth="1"/>
    <col min="9" max="10" width="12.75" bestFit="1" customWidth="1"/>
    <col min="11" max="11" width="18" customWidth="1"/>
    <col min="12" max="12" width="11.125" customWidth="1"/>
    <col min="13" max="13" width="11.75" bestFit="1" customWidth="1"/>
  </cols>
  <sheetData>
    <row r="2" spans="1:14" ht="15" thickBot="1"/>
    <row r="3" spans="1:14" s="150" customFormat="1" ht="31.5">
      <c r="A3" s="229" t="s">
        <v>273</v>
      </c>
      <c r="B3" s="228" t="s">
        <v>272</v>
      </c>
      <c r="C3" s="228" t="s">
        <v>271</v>
      </c>
      <c r="D3" s="227" t="s">
        <v>270</v>
      </c>
      <c r="E3" s="226" t="s">
        <v>269</v>
      </c>
      <c r="F3" s="226" t="s">
        <v>268</v>
      </c>
      <c r="G3" s="225" t="s">
        <v>267</v>
      </c>
      <c r="H3" s="223"/>
      <c r="I3" s="223"/>
      <c r="J3" s="223"/>
      <c r="K3" s="223"/>
      <c r="L3" s="223"/>
      <c r="M3" s="223"/>
      <c r="N3" s="151"/>
    </row>
    <row r="4" spans="1:14" s="150" customFormat="1" ht="47.25">
      <c r="A4" s="221" t="s">
        <v>266</v>
      </c>
      <c r="B4" s="198" t="s">
        <v>232</v>
      </c>
      <c r="C4" s="198"/>
      <c r="D4" s="198">
        <f>198018*(C11+C12)+158091343</f>
        <v>1450847895.6400001</v>
      </c>
      <c r="E4" s="199"/>
      <c r="F4" s="199"/>
      <c r="G4" s="222" t="s">
        <v>261</v>
      </c>
      <c r="H4" s="223"/>
      <c r="I4" s="223"/>
      <c r="J4" s="223"/>
      <c r="K4" s="223"/>
      <c r="L4" s="223"/>
      <c r="M4" s="223"/>
      <c r="N4" s="151"/>
    </row>
    <row r="5" spans="1:14" s="150" customFormat="1" ht="15.75">
      <c r="A5" s="165" t="s">
        <v>257</v>
      </c>
      <c r="B5" s="167" t="s">
        <v>240</v>
      </c>
      <c r="C5" s="219">
        <v>72.03</v>
      </c>
      <c r="D5" s="175"/>
      <c r="E5" s="192"/>
      <c r="F5" s="192"/>
      <c r="G5" s="224"/>
      <c r="H5" s="223"/>
      <c r="I5" s="223"/>
      <c r="J5" s="223"/>
      <c r="K5" s="223"/>
      <c r="L5" s="223"/>
      <c r="M5" s="223"/>
      <c r="N5" s="151"/>
    </row>
    <row r="6" spans="1:14" s="150" customFormat="1" ht="15.75">
      <c r="A6" s="165" t="s">
        <v>257</v>
      </c>
      <c r="B6" s="167" t="s">
        <v>240</v>
      </c>
      <c r="C6" s="219">
        <v>41.5</v>
      </c>
      <c r="D6" s="175"/>
      <c r="E6" s="192"/>
      <c r="F6" s="192"/>
      <c r="G6" s="224"/>
      <c r="H6" s="223"/>
      <c r="I6" s="223"/>
      <c r="J6" s="223"/>
      <c r="K6" s="223"/>
      <c r="L6" s="223"/>
      <c r="M6" s="223"/>
      <c r="N6" s="151"/>
    </row>
    <row r="7" spans="1:14" s="150" customFormat="1" ht="15.75">
      <c r="A7" s="165" t="s">
        <v>257</v>
      </c>
      <c r="B7" s="167" t="s">
        <v>240</v>
      </c>
      <c r="C7" s="219">
        <v>76.22</v>
      </c>
      <c r="D7" s="175"/>
      <c r="E7" s="192"/>
      <c r="F7" s="192"/>
      <c r="G7" s="224"/>
      <c r="H7" s="223"/>
      <c r="I7" s="223"/>
      <c r="J7" s="223"/>
      <c r="K7" s="223"/>
      <c r="L7" s="223"/>
      <c r="M7" s="223"/>
      <c r="N7" s="151"/>
    </row>
    <row r="8" spans="1:14" s="150" customFormat="1" ht="15.75">
      <c r="A8" s="165" t="s">
        <v>257</v>
      </c>
      <c r="B8" s="167" t="s">
        <v>240</v>
      </c>
      <c r="C8" s="219">
        <v>90.13</v>
      </c>
      <c r="D8" s="175"/>
      <c r="E8" s="192"/>
      <c r="F8" s="192"/>
      <c r="G8" s="224"/>
      <c r="H8" s="223"/>
      <c r="I8" s="223"/>
      <c r="J8" s="223"/>
      <c r="K8" s="223"/>
      <c r="L8" s="223"/>
      <c r="M8" s="223"/>
      <c r="N8" s="151"/>
    </row>
    <row r="9" spans="1:14" s="150" customFormat="1" ht="15.75">
      <c r="A9" s="165" t="s">
        <v>257</v>
      </c>
      <c r="B9" s="167" t="s">
        <v>240</v>
      </c>
      <c r="C9" s="219">
        <v>27.95</v>
      </c>
      <c r="D9" s="165"/>
      <c r="E9" s="164"/>
      <c r="F9" s="164"/>
      <c r="G9" s="163"/>
      <c r="N9" s="151"/>
    </row>
    <row r="10" spans="1:14" s="150" customFormat="1" ht="47.25">
      <c r="A10" s="216" t="s">
        <v>243</v>
      </c>
      <c r="B10" s="172" t="s">
        <v>240</v>
      </c>
      <c r="C10" s="214">
        <f>SUM(C5:C9)</f>
        <v>307.83</v>
      </c>
      <c r="D10" s="165"/>
      <c r="E10" s="164"/>
      <c r="F10" s="164"/>
      <c r="G10" s="218" t="s">
        <v>265</v>
      </c>
      <c r="N10" s="151"/>
    </row>
    <row r="11" spans="1:14" s="150" customFormat="1" ht="15.75">
      <c r="A11" s="220" t="s">
        <v>256</v>
      </c>
      <c r="B11" s="167" t="s">
        <v>240</v>
      </c>
      <c r="C11" s="219">
        <f>1454.84</f>
        <v>1454.84</v>
      </c>
      <c r="D11" s="165"/>
      <c r="E11" s="164"/>
      <c r="F11" s="164"/>
      <c r="G11" s="163"/>
      <c r="N11" s="151"/>
    </row>
    <row r="12" spans="1:14" s="150" customFormat="1" ht="15.75">
      <c r="A12" s="220" t="s">
        <v>255</v>
      </c>
      <c r="B12" s="167" t="s">
        <v>240</v>
      </c>
      <c r="C12" s="219">
        <v>5073.6400000000003</v>
      </c>
      <c r="D12" s="165"/>
      <c r="E12" s="164"/>
      <c r="F12" s="164"/>
      <c r="G12" s="163"/>
      <c r="I12" s="168"/>
      <c r="N12" s="151"/>
    </row>
    <row r="13" spans="1:14" s="150" customFormat="1" ht="15.75">
      <c r="A13" s="220" t="s">
        <v>254</v>
      </c>
      <c r="B13" s="167" t="s">
        <v>245</v>
      </c>
      <c r="C13" s="219">
        <v>24</v>
      </c>
      <c r="D13" s="165"/>
      <c r="E13" s="164"/>
      <c r="F13" s="164"/>
      <c r="G13" s="163"/>
      <c r="N13" s="151"/>
    </row>
    <row r="14" spans="1:14" s="150" customFormat="1" ht="15.75">
      <c r="A14" s="220" t="s">
        <v>253</v>
      </c>
      <c r="B14" s="167" t="s">
        <v>245</v>
      </c>
      <c r="C14" s="219">
        <v>24</v>
      </c>
      <c r="D14" s="165"/>
      <c r="E14" s="164"/>
      <c r="F14" s="164"/>
      <c r="G14" s="163"/>
      <c r="N14" s="151"/>
    </row>
    <row r="15" spans="1:14" s="150" customFormat="1" ht="15.75">
      <c r="A15" s="220" t="s">
        <v>252</v>
      </c>
      <c r="B15" s="167" t="s">
        <v>245</v>
      </c>
      <c r="C15" s="219">
        <v>18</v>
      </c>
      <c r="D15" s="165"/>
      <c r="E15" s="164"/>
      <c r="F15" s="164"/>
      <c r="G15" s="163"/>
      <c r="N15" s="151"/>
    </row>
    <row r="16" spans="1:14" s="150" customFormat="1" ht="31.5">
      <c r="A16" s="221" t="s">
        <v>264</v>
      </c>
      <c r="B16" s="198" t="s">
        <v>232</v>
      </c>
      <c r="C16" s="198"/>
      <c r="D16" s="198">
        <f>198018*(C24+C25)+158091343</f>
        <v>1036586318.92</v>
      </c>
      <c r="E16" s="199"/>
      <c r="F16" s="199"/>
      <c r="G16" s="218" t="s">
        <v>263</v>
      </c>
      <c r="N16" s="151"/>
    </row>
    <row r="17" spans="1:14" s="150" customFormat="1" ht="15.75">
      <c r="A17" s="165" t="s">
        <v>257</v>
      </c>
      <c r="B17" s="167" t="s">
        <v>240</v>
      </c>
      <c r="C17" s="219">
        <v>35.83</v>
      </c>
      <c r="D17" s="165"/>
      <c r="E17" s="164"/>
      <c r="F17" s="164"/>
      <c r="G17" s="163"/>
      <c r="N17" s="151"/>
    </row>
    <row r="18" spans="1:14" s="150" customFormat="1" ht="15.75">
      <c r="A18" s="165" t="s">
        <v>257</v>
      </c>
      <c r="B18" s="167" t="s">
        <v>240</v>
      </c>
      <c r="C18" s="219">
        <v>263.92</v>
      </c>
      <c r="D18" s="165"/>
      <c r="E18" s="164"/>
      <c r="F18" s="164"/>
      <c r="G18" s="163"/>
      <c r="N18" s="151"/>
    </row>
    <row r="19" spans="1:14" s="150" customFormat="1" ht="15.75">
      <c r="A19" s="165" t="s">
        <v>257</v>
      </c>
      <c r="B19" s="167" t="s">
        <v>240</v>
      </c>
      <c r="C19" s="219">
        <v>29.42</v>
      </c>
      <c r="D19" s="165"/>
      <c r="E19" s="164"/>
      <c r="F19" s="164"/>
      <c r="G19" s="163"/>
      <c r="N19" s="151"/>
    </row>
    <row r="20" spans="1:14" s="150" customFormat="1" ht="15.75">
      <c r="A20" s="165" t="s">
        <v>257</v>
      </c>
      <c r="B20" s="167" t="s">
        <v>240</v>
      </c>
      <c r="C20" s="219">
        <v>33.71</v>
      </c>
      <c r="D20" s="165"/>
      <c r="E20" s="164"/>
      <c r="F20" s="164"/>
      <c r="G20" s="163"/>
      <c r="N20" s="151"/>
    </row>
    <row r="21" spans="1:14" s="150" customFormat="1" ht="15.75">
      <c r="A21" s="165" t="s">
        <v>257</v>
      </c>
      <c r="B21" s="167" t="s">
        <v>240</v>
      </c>
      <c r="C21" s="219">
        <v>41.23</v>
      </c>
      <c r="D21" s="165"/>
      <c r="E21" s="164"/>
      <c r="F21" s="164"/>
      <c r="G21" s="163"/>
      <c r="N21" s="151"/>
    </row>
    <row r="22" spans="1:14" s="150" customFormat="1" ht="15.75">
      <c r="A22" s="165" t="s">
        <v>257</v>
      </c>
      <c r="B22" s="167" t="s">
        <v>240</v>
      </c>
      <c r="C22" s="219">
        <v>41.23</v>
      </c>
      <c r="D22" s="165"/>
      <c r="E22" s="164"/>
      <c r="F22" s="164"/>
      <c r="G22" s="163"/>
      <c r="N22" s="151"/>
    </row>
    <row r="23" spans="1:14" s="150" customFormat="1" ht="47.25">
      <c r="A23" s="216" t="s">
        <v>243</v>
      </c>
      <c r="B23" s="215" t="s">
        <v>240</v>
      </c>
      <c r="C23" s="214">
        <f>SUM(C17:C22)</f>
        <v>445.34000000000003</v>
      </c>
      <c r="D23" s="165"/>
      <c r="E23" s="164"/>
      <c r="F23" s="164"/>
      <c r="G23" s="218" t="s">
        <v>260</v>
      </c>
      <c r="N23" s="151"/>
    </row>
    <row r="24" spans="1:14" s="150" customFormat="1" ht="15.75">
      <c r="A24" s="220" t="s">
        <v>256</v>
      </c>
      <c r="B24" s="167" t="s">
        <v>240</v>
      </c>
      <c r="C24" s="219">
        <v>539.11</v>
      </c>
      <c r="D24" s="165"/>
      <c r="E24" s="164"/>
      <c r="F24" s="164"/>
      <c r="G24" s="163"/>
      <c r="I24" s="152"/>
      <c r="N24" s="151"/>
    </row>
    <row r="25" spans="1:14" s="150" customFormat="1" ht="15.75">
      <c r="A25" s="220" t="s">
        <v>255</v>
      </c>
      <c r="B25" s="167" t="s">
        <v>240</v>
      </c>
      <c r="C25" s="219">
        <v>3897.33</v>
      </c>
      <c r="D25" s="165"/>
      <c r="E25" s="164"/>
      <c r="F25" s="164"/>
      <c r="G25" s="163"/>
      <c r="I25" s="152"/>
      <c r="N25" s="151"/>
    </row>
    <row r="26" spans="1:14" s="150" customFormat="1" ht="15.75">
      <c r="A26" s="220" t="s">
        <v>254</v>
      </c>
      <c r="B26" s="167" t="s">
        <v>245</v>
      </c>
      <c r="C26" s="219">
        <v>10</v>
      </c>
      <c r="D26" s="165"/>
      <c r="E26" s="164"/>
      <c r="F26" s="164"/>
      <c r="G26" s="163"/>
      <c r="N26" s="151"/>
    </row>
    <row r="27" spans="1:14" s="150" customFormat="1" ht="15.75">
      <c r="A27" s="220" t="s">
        <v>253</v>
      </c>
      <c r="B27" s="167" t="s">
        <v>245</v>
      </c>
      <c r="C27" s="219">
        <v>20</v>
      </c>
      <c r="D27" s="165"/>
      <c r="E27" s="164"/>
      <c r="F27" s="164"/>
      <c r="G27" s="163"/>
      <c r="N27" s="151"/>
    </row>
    <row r="28" spans="1:14" s="150" customFormat="1" ht="15.75">
      <c r="A28" s="220" t="s">
        <v>252</v>
      </c>
      <c r="B28" s="167" t="s">
        <v>245</v>
      </c>
      <c r="C28" s="219">
        <v>18</v>
      </c>
      <c r="D28" s="165"/>
      <c r="E28" s="164"/>
      <c r="F28" s="164"/>
      <c r="G28" s="163"/>
      <c r="N28" s="151"/>
    </row>
    <row r="29" spans="1:14" s="150" customFormat="1" ht="47.25">
      <c r="A29" s="221" t="s">
        <v>262</v>
      </c>
      <c r="B29" s="167"/>
      <c r="C29" s="175"/>
      <c r="D29" s="198">
        <f>D4+158091343</f>
        <v>1608939238.6400001</v>
      </c>
      <c r="E29" s="199"/>
      <c r="F29" s="199"/>
      <c r="G29" s="222" t="s">
        <v>261</v>
      </c>
      <c r="N29" s="151"/>
    </row>
    <row r="30" spans="1:14" s="150" customFormat="1" ht="15.75">
      <c r="A30" s="165" t="s">
        <v>257</v>
      </c>
      <c r="B30" s="167" t="s">
        <v>240</v>
      </c>
      <c r="C30" s="219">
        <v>72.03</v>
      </c>
      <c r="D30" s="165"/>
      <c r="E30" s="164"/>
      <c r="F30" s="164"/>
      <c r="G30" s="163"/>
      <c r="N30" s="151"/>
    </row>
    <row r="31" spans="1:14" s="150" customFormat="1" ht="15.75">
      <c r="A31" s="165" t="s">
        <v>257</v>
      </c>
      <c r="B31" s="167" t="s">
        <v>240</v>
      </c>
      <c r="C31" s="219">
        <v>41.5</v>
      </c>
      <c r="D31" s="165"/>
      <c r="E31" s="164"/>
      <c r="F31" s="164"/>
      <c r="G31" s="163"/>
      <c r="N31" s="151"/>
    </row>
    <row r="32" spans="1:14" s="150" customFormat="1" ht="15.75">
      <c r="A32" s="165" t="s">
        <v>257</v>
      </c>
      <c r="B32" s="167" t="s">
        <v>240</v>
      </c>
      <c r="C32" s="219">
        <v>76.22</v>
      </c>
      <c r="D32" s="165"/>
      <c r="E32" s="164"/>
      <c r="F32" s="164"/>
      <c r="G32" s="163"/>
      <c r="N32" s="151"/>
    </row>
    <row r="33" spans="1:14" s="150" customFormat="1" ht="15.75">
      <c r="A33" s="165" t="s">
        <v>257</v>
      </c>
      <c r="B33" s="167" t="s">
        <v>240</v>
      </c>
      <c r="C33" s="219">
        <v>90.13</v>
      </c>
      <c r="D33" s="165"/>
      <c r="E33" s="164"/>
      <c r="F33" s="164"/>
      <c r="G33" s="163"/>
      <c r="N33" s="151"/>
    </row>
    <row r="34" spans="1:14" s="150" customFormat="1" ht="15.75">
      <c r="A34" s="165" t="s">
        <v>257</v>
      </c>
      <c r="B34" s="167" t="s">
        <v>240</v>
      </c>
      <c r="C34" s="219">
        <v>27.95</v>
      </c>
      <c r="D34" s="165"/>
      <c r="E34" s="164"/>
      <c r="F34" s="164"/>
      <c r="G34" s="163"/>
      <c r="N34" s="151"/>
    </row>
    <row r="35" spans="1:14" s="150" customFormat="1" ht="47.25">
      <c r="A35" s="216" t="s">
        <v>243</v>
      </c>
      <c r="B35" s="172" t="s">
        <v>240</v>
      </c>
      <c r="C35" s="214">
        <f>SUM(C30:C34)</f>
        <v>307.83</v>
      </c>
      <c r="D35" s="165"/>
      <c r="E35" s="164"/>
      <c r="F35" s="164"/>
      <c r="G35" s="218" t="s">
        <v>260</v>
      </c>
      <c r="N35" s="151"/>
    </row>
    <row r="36" spans="1:14" s="150" customFormat="1" ht="15.75">
      <c r="A36" s="220" t="s">
        <v>256</v>
      </c>
      <c r="B36" s="167" t="s">
        <v>240</v>
      </c>
      <c r="C36" s="219">
        <f>1454.84</f>
        <v>1454.84</v>
      </c>
      <c r="D36" s="165"/>
      <c r="E36" s="164"/>
      <c r="F36" s="164"/>
      <c r="G36" s="163"/>
      <c r="N36" s="151"/>
    </row>
    <row r="37" spans="1:14" s="150" customFormat="1" ht="15.75">
      <c r="A37" s="220" t="s">
        <v>255</v>
      </c>
      <c r="B37" s="167" t="s">
        <v>240</v>
      </c>
      <c r="C37" s="219">
        <v>5073.6400000000003</v>
      </c>
      <c r="D37" s="165"/>
      <c r="E37" s="164"/>
      <c r="F37" s="164"/>
      <c r="G37" s="163"/>
      <c r="N37" s="151"/>
    </row>
    <row r="38" spans="1:14" s="150" customFormat="1" ht="15.75">
      <c r="A38" s="220" t="s">
        <v>254</v>
      </c>
      <c r="B38" s="167" t="s">
        <v>245</v>
      </c>
      <c r="C38" s="219">
        <v>24</v>
      </c>
      <c r="D38" s="165"/>
      <c r="E38" s="164"/>
      <c r="F38" s="164"/>
      <c r="G38" s="163"/>
      <c r="N38" s="151"/>
    </row>
    <row r="39" spans="1:14" s="150" customFormat="1" ht="15.75">
      <c r="A39" s="220" t="s">
        <v>253</v>
      </c>
      <c r="B39" s="167" t="s">
        <v>245</v>
      </c>
      <c r="C39" s="219">
        <v>24</v>
      </c>
      <c r="D39" s="165"/>
      <c r="E39" s="164"/>
      <c r="F39" s="164"/>
      <c r="G39" s="163"/>
      <c r="N39" s="151"/>
    </row>
    <row r="40" spans="1:14" s="150" customFormat="1" ht="15.75">
      <c r="A40" s="220" t="s">
        <v>252</v>
      </c>
      <c r="B40" s="167" t="s">
        <v>245</v>
      </c>
      <c r="C40" s="219">
        <v>18</v>
      </c>
      <c r="D40" s="165"/>
      <c r="E40" s="164"/>
      <c r="F40" s="164"/>
      <c r="G40" s="163"/>
      <c r="K40" s="152"/>
      <c r="N40" s="151"/>
    </row>
    <row r="41" spans="1:14" s="150" customFormat="1" ht="63">
      <c r="A41" s="221" t="s">
        <v>259</v>
      </c>
      <c r="B41" s="167"/>
      <c r="C41" s="175"/>
      <c r="D41" s="198">
        <f>298018*(C49+C50)-350000000+56000001+14000000</f>
        <v>1958711217</v>
      </c>
      <c r="E41" s="199"/>
      <c r="F41" s="199"/>
      <c r="G41" s="218" t="s">
        <v>258</v>
      </c>
      <c r="N41" s="151"/>
    </row>
    <row r="42" spans="1:14" s="150" customFormat="1" ht="15.75">
      <c r="A42" s="165" t="s">
        <v>257</v>
      </c>
      <c r="B42" s="167" t="s">
        <v>240</v>
      </c>
      <c r="C42" s="219">
        <v>35.83</v>
      </c>
      <c r="D42" s="165"/>
      <c r="E42" s="164"/>
      <c r="F42" s="164"/>
      <c r="G42" s="163"/>
      <c r="N42" s="151"/>
    </row>
    <row r="43" spans="1:14" s="150" customFormat="1" ht="15.75">
      <c r="A43" s="165" t="s">
        <v>257</v>
      </c>
      <c r="B43" s="167" t="s">
        <v>240</v>
      </c>
      <c r="C43" s="219">
        <v>263.92</v>
      </c>
      <c r="D43" s="165"/>
      <c r="E43" s="164"/>
      <c r="F43" s="164"/>
      <c r="G43" s="163"/>
      <c r="N43" s="151"/>
    </row>
    <row r="44" spans="1:14" s="150" customFormat="1" ht="15.75">
      <c r="A44" s="165" t="s">
        <v>257</v>
      </c>
      <c r="B44" s="167" t="s">
        <v>240</v>
      </c>
      <c r="C44" s="219">
        <v>29.42</v>
      </c>
      <c r="D44" s="165"/>
      <c r="E44" s="164"/>
      <c r="F44" s="164"/>
      <c r="G44" s="163"/>
      <c r="N44" s="151"/>
    </row>
    <row r="45" spans="1:14" s="150" customFormat="1" ht="15.75">
      <c r="A45" s="165" t="s">
        <v>257</v>
      </c>
      <c r="B45" s="167" t="s">
        <v>240</v>
      </c>
      <c r="C45" s="219">
        <v>33.71</v>
      </c>
      <c r="D45" s="165"/>
      <c r="E45" s="164"/>
      <c r="F45" s="164"/>
      <c r="G45" s="163"/>
      <c r="N45" s="151"/>
    </row>
    <row r="46" spans="1:14" s="150" customFormat="1" ht="15.75">
      <c r="A46" s="165" t="s">
        <v>257</v>
      </c>
      <c r="B46" s="167" t="s">
        <v>240</v>
      </c>
      <c r="C46" s="219">
        <v>41.23</v>
      </c>
      <c r="D46" s="165"/>
      <c r="E46" s="164"/>
      <c r="F46" s="164"/>
      <c r="G46" s="163"/>
      <c r="N46" s="151"/>
    </row>
    <row r="47" spans="1:14" s="150" customFormat="1" ht="15.75">
      <c r="A47" s="165" t="s">
        <v>257</v>
      </c>
      <c r="B47" s="167" t="s">
        <v>240</v>
      </c>
      <c r="C47" s="219">
        <v>41.23</v>
      </c>
      <c r="D47" s="165"/>
      <c r="E47" s="164"/>
      <c r="F47" s="164"/>
      <c r="G47" s="163"/>
      <c r="N47" s="151"/>
    </row>
    <row r="48" spans="1:14" s="150" customFormat="1" ht="15.75">
      <c r="A48" s="216" t="s">
        <v>243</v>
      </c>
      <c r="B48" s="215" t="s">
        <v>240</v>
      </c>
      <c r="C48" s="214">
        <f>SUM(C42:C47)</f>
        <v>445.34000000000003</v>
      </c>
      <c r="D48" s="165"/>
      <c r="E48" s="164"/>
      <c r="F48" s="164"/>
      <c r="G48" s="163"/>
      <c r="N48" s="151"/>
    </row>
    <row r="49" spans="1:14" s="150" customFormat="1" ht="15.75">
      <c r="A49" s="220" t="s">
        <v>256</v>
      </c>
      <c r="B49" s="167" t="s">
        <v>240</v>
      </c>
      <c r="C49" s="219">
        <f>16*41*2</f>
        <v>1312</v>
      </c>
      <c r="D49" s="165"/>
      <c r="E49" s="164"/>
      <c r="F49" s="164"/>
      <c r="G49" s="163"/>
      <c r="N49" s="151"/>
    </row>
    <row r="50" spans="1:14" s="150" customFormat="1" ht="15.75">
      <c r="A50" s="220" t="s">
        <v>255</v>
      </c>
      <c r="B50" s="167" t="s">
        <v>240</v>
      </c>
      <c r="C50" s="219">
        <v>6200</v>
      </c>
      <c r="D50" s="165"/>
      <c r="E50" s="164"/>
      <c r="F50" s="164"/>
      <c r="G50" s="163"/>
      <c r="N50" s="151"/>
    </row>
    <row r="51" spans="1:14" s="150" customFormat="1" ht="15.75">
      <c r="A51" s="220" t="s">
        <v>254</v>
      </c>
      <c r="B51" s="167" t="s">
        <v>245</v>
      </c>
      <c r="C51" s="219">
        <v>24</v>
      </c>
      <c r="D51" s="165"/>
      <c r="E51" s="164"/>
      <c r="F51" s="164"/>
      <c r="G51" s="163"/>
      <c r="N51" s="151"/>
    </row>
    <row r="52" spans="1:14" s="150" customFormat="1" ht="15.75">
      <c r="A52" s="220" t="s">
        <v>253</v>
      </c>
      <c r="B52" s="167" t="s">
        <v>245</v>
      </c>
      <c r="C52" s="219">
        <v>24</v>
      </c>
      <c r="D52" s="165"/>
      <c r="E52" s="164"/>
      <c r="F52" s="164"/>
      <c r="G52" s="163"/>
      <c r="N52" s="151"/>
    </row>
    <row r="53" spans="1:14" s="150" customFormat="1" ht="15.75">
      <c r="A53" s="220" t="s">
        <v>252</v>
      </c>
      <c r="B53" s="167" t="s">
        <v>245</v>
      </c>
      <c r="C53" s="219">
        <v>18</v>
      </c>
      <c r="D53" s="165"/>
      <c r="E53" s="164"/>
      <c r="F53" s="164"/>
      <c r="G53" s="163"/>
      <c r="N53" s="151"/>
    </row>
    <row r="54" spans="1:14" s="150" customFormat="1" ht="31.5">
      <c r="A54" s="200" t="s">
        <v>251</v>
      </c>
      <c r="B54" s="198" t="s">
        <v>232</v>
      </c>
      <c r="C54" s="198"/>
      <c r="D54" s="198">
        <v>880000000</v>
      </c>
      <c r="E54" s="199"/>
      <c r="F54" s="199"/>
      <c r="G54" s="218" t="s">
        <v>250</v>
      </c>
      <c r="N54" s="151"/>
    </row>
    <row r="55" spans="1:14" s="150" customFormat="1" ht="15.75">
      <c r="A55" s="165" t="s">
        <v>249</v>
      </c>
      <c r="B55" s="167" t="s">
        <v>240</v>
      </c>
      <c r="C55" s="212">
        <v>8795.33</v>
      </c>
      <c r="D55" s="165"/>
      <c r="E55" s="164"/>
      <c r="F55" s="164"/>
      <c r="G55" s="163"/>
      <c r="I55" s="152"/>
      <c r="N55" s="151"/>
    </row>
    <row r="56" spans="1:14" s="150" customFormat="1" ht="15.75">
      <c r="A56" s="165" t="s">
        <v>248</v>
      </c>
      <c r="B56" s="167" t="s">
        <v>240</v>
      </c>
      <c r="C56" s="212">
        <v>15.43</v>
      </c>
      <c r="D56" s="165"/>
      <c r="E56" s="164"/>
      <c r="F56" s="164"/>
      <c r="G56" s="163"/>
      <c r="N56" s="151"/>
    </row>
    <row r="57" spans="1:14" s="150" customFormat="1" ht="15.75">
      <c r="A57" s="165" t="s">
        <v>247</v>
      </c>
      <c r="B57" s="167" t="s">
        <v>240</v>
      </c>
      <c r="C57" s="212">
        <v>86.59</v>
      </c>
      <c r="D57" s="165"/>
      <c r="E57" s="164"/>
      <c r="F57" s="164"/>
      <c r="G57" s="163"/>
      <c r="N57" s="151"/>
    </row>
    <row r="58" spans="1:14" s="150" customFormat="1" ht="15.75">
      <c r="A58" s="165" t="s">
        <v>246</v>
      </c>
      <c r="B58" s="167" t="s">
        <v>245</v>
      </c>
      <c r="C58" s="212">
        <v>194</v>
      </c>
      <c r="D58" s="165"/>
      <c r="E58" s="164"/>
      <c r="F58" s="164"/>
      <c r="G58" s="217" t="s">
        <v>244</v>
      </c>
      <c r="N58" s="151"/>
    </row>
    <row r="59" spans="1:14" s="150" customFormat="1" ht="15.75">
      <c r="A59" s="216" t="s">
        <v>243</v>
      </c>
      <c r="B59" s="215" t="s">
        <v>240</v>
      </c>
      <c r="C59" s="214">
        <f>SUM(C54:C57)</f>
        <v>8897.35</v>
      </c>
      <c r="D59" s="165"/>
      <c r="E59" s="164"/>
      <c r="F59" s="164"/>
      <c r="G59" s="163"/>
      <c r="N59" s="151"/>
    </row>
    <row r="60" spans="1:14" s="150" customFormat="1" ht="15.75">
      <c r="A60" s="213" t="s">
        <v>242</v>
      </c>
      <c r="B60" s="167"/>
      <c r="C60" s="165"/>
      <c r="D60" s="165"/>
      <c r="E60" s="164"/>
      <c r="F60" s="164"/>
      <c r="G60" s="163"/>
      <c r="N60" s="151"/>
    </row>
    <row r="61" spans="1:14" s="150" customFormat="1" ht="15.75">
      <c r="A61" s="165" t="s">
        <v>241</v>
      </c>
      <c r="B61" s="167" t="s">
        <v>240</v>
      </c>
      <c r="C61" s="212">
        <v>5450</v>
      </c>
      <c r="D61" s="198">
        <f>C61*19000</f>
        <v>103550000</v>
      </c>
      <c r="E61" s="199"/>
      <c r="F61" s="199"/>
      <c r="G61" s="163"/>
      <c r="N61" s="151"/>
    </row>
    <row r="62" spans="1:14" s="150" customFormat="1" ht="15.75">
      <c r="A62" s="165" t="s">
        <v>239</v>
      </c>
      <c r="B62" s="167" t="s">
        <v>238</v>
      </c>
      <c r="C62" s="212">
        <v>1</v>
      </c>
      <c r="D62" s="198">
        <v>350000000</v>
      </c>
      <c r="E62" s="199"/>
      <c r="F62" s="199"/>
      <c r="G62" s="163"/>
      <c r="N62" s="151"/>
    </row>
    <row r="63" spans="1:14" s="150" customFormat="1" ht="15.75">
      <c r="A63" s="165"/>
      <c r="B63" s="167"/>
      <c r="C63" s="165"/>
      <c r="D63" s="165"/>
      <c r="E63" s="164"/>
      <c r="F63" s="164"/>
      <c r="G63" s="163"/>
      <c r="N63" s="151"/>
    </row>
    <row r="64" spans="1:14" s="150" customFormat="1" ht="31.5">
      <c r="A64" s="165"/>
      <c r="B64" s="167"/>
      <c r="C64" s="211" t="s">
        <v>237</v>
      </c>
      <c r="D64" s="172">
        <f>'МЖК '!A47</f>
        <v>8042210270</v>
      </c>
      <c r="E64" s="199">
        <f>D64-F64</f>
        <v>861665386.07142925</v>
      </c>
      <c r="F64" s="210">
        <f>D64/1.12</f>
        <v>7180544883.9285707</v>
      </c>
      <c r="G64" s="163"/>
      <c r="I64" s="152"/>
      <c r="N64" s="151"/>
    </row>
    <row r="65" spans="1:14" s="150" customFormat="1" ht="15.75">
      <c r="A65" s="165"/>
      <c r="B65" s="167"/>
      <c r="C65" s="165"/>
      <c r="D65" s="165"/>
      <c r="E65" s="164"/>
      <c r="F65" s="164"/>
      <c r="G65" s="163"/>
      <c r="N65" s="151"/>
    </row>
    <row r="66" spans="1:14" s="150" customFormat="1" ht="15.75">
      <c r="A66" s="209" t="s">
        <v>236</v>
      </c>
      <c r="B66" s="208"/>
      <c r="C66" s="207" t="s">
        <v>232</v>
      </c>
      <c r="D66" s="205">
        <v>14000000000</v>
      </c>
      <c r="E66" s="206"/>
      <c r="F66" s="205">
        <v>14000000000</v>
      </c>
      <c r="G66" s="163"/>
      <c r="I66" s="168"/>
      <c r="N66" s="151"/>
    </row>
    <row r="67" spans="1:14" s="150" customFormat="1" ht="15.75">
      <c r="A67" s="203"/>
      <c r="B67" s="204"/>
      <c r="C67" s="203"/>
      <c r="D67" s="175"/>
      <c r="E67" s="192"/>
      <c r="F67" s="192"/>
      <c r="G67" s="163"/>
      <c r="I67" s="168"/>
      <c r="N67" s="151"/>
    </row>
    <row r="68" spans="1:14" s="150" customFormat="1" ht="15.75">
      <c r="A68" s="202" t="s">
        <v>235</v>
      </c>
      <c r="B68" s="201"/>
      <c r="C68" s="200" t="s">
        <v>232</v>
      </c>
      <c r="D68" s="198">
        <f>'МЖК '!B51</f>
        <v>127600000</v>
      </c>
      <c r="E68" s="199"/>
      <c r="F68" s="198">
        <f>D68</f>
        <v>127600000</v>
      </c>
      <c r="G68" s="163"/>
      <c r="I68" s="168"/>
      <c r="K68" s="168"/>
      <c r="N68" s="151"/>
    </row>
    <row r="69" spans="1:14" s="150" customFormat="1" ht="15.75">
      <c r="A69" s="165"/>
      <c r="B69" s="167"/>
      <c r="C69" s="165"/>
      <c r="D69" s="175"/>
      <c r="E69" s="192"/>
      <c r="F69" s="175"/>
      <c r="G69" s="163"/>
      <c r="I69" s="168"/>
      <c r="N69" s="151"/>
    </row>
    <row r="70" spans="1:14" s="150" customFormat="1" ht="15.75">
      <c r="A70" s="197" t="s">
        <v>234</v>
      </c>
      <c r="B70" s="196"/>
      <c r="C70" s="195" t="s">
        <v>232</v>
      </c>
      <c r="D70" s="193">
        <f>'МЖК '!B52</f>
        <v>291578400</v>
      </c>
      <c r="E70" s="194"/>
      <c r="F70" s="193">
        <f>D70</f>
        <v>291578400</v>
      </c>
      <c r="G70" s="163"/>
      <c r="I70" s="168"/>
      <c r="K70" s="168"/>
      <c r="N70" s="151"/>
    </row>
    <row r="71" spans="1:14" s="150" customFormat="1" ht="15.75">
      <c r="A71" s="165"/>
      <c r="B71" s="167"/>
      <c r="C71" s="165"/>
      <c r="D71" s="175"/>
      <c r="E71" s="192"/>
      <c r="F71" s="192"/>
      <c r="G71" s="163"/>
      <c r="N71" s="151"/>
    </row>
    <row r="72" spans="1:14" s="150" customFormat="1" ht="15.75">
      <c r="A72" s="191" t="s">
        <v>233</v>
      </c>
      <c r="B72" s="190"/>
      <c r="C72" s="189" t="s">
        <v>232</v>
      </c>
      <c r="D72" s="188">
        <v>60000000</v>
      </c>
      <c r="E72" s="187"/>
      <c r="F72" s="187">
        <f>D72</f>
        <v>60000000</v>
      </c>
      <c r="G72" s="163"/>
      <c r="K72" s="152"/>
      <c r="N72" s="151"/>
    </row>
    <row r="73" spans="1:14" s="150" customFormat="1" ht="15.75">
      <c r="A73" s="165"/>
      <c r="B73" s="167"/>
      <c r="C73" s="165"/>
      <c r="D73" s="165"/>
      <c r="E73" s="164"/>
      <c r="F73" s="164"/>
      <c r="G73" s="163"/>
      <c r="N73" s="151"/>
    </row>
    <row r="74" spans="1:14" s="150" customFormat="1" ht="15.75">
      <c r="A74" s="186"/>
      <c r="B74" s="185"/>
      <c r="C74" s="184" t="s">
        <v>226</v>
      </c>
      <c r="D74" s="183">
        <f>SUM(D64:D73)</f>
        <v>22521388670</v>
      </c>
      <c r="E74" s="183">
        <f>SUM(E64:E73)</f>
        <v>861665386.07142925</v>
      </c>
      <c r="F74" s="183">
        <f>SUM(F64:F73)</f>
        <v>21659723283.92857</v>
      </c>
      <c r="G74" s="163"/>
      <c r="N74" s="151"/>
    </row>
    <row r="75" spans="1:14" s="150" customFormat="1" ht="15.75">
      <c r="A75" s="165"/>
      <c r="B75" s="167"/>
      <c r="C75" s="165"/>
      <c r="D75" s="165"/>
      <c r="E75" s="164"/>
      <c r="F75" s="164"/>
      <c r="G75" s="163"/>
      <c r="N75" s="151"/>
    </row>
    <row r="76" spans="1:14" s="150" customFormat="1" ht="47.25">
      <c r="A76" s="182" t="s">
        <v>231</v>
      </c>
      <c r="B76" s="181"/>
      <c r="C76" s="180">
        <v>26305</v>
      </c>
      <c r="D76" s="179">
        <f>D86/C76</f>
        <v>1369615.966546284</v>
      </c>
      <c r="E76" s="178"/>
      <c r="F76" s="178"/>
      <c r="G76" s="177"/>
      <c r="N76" s="151"/>
    </row>
    <row r="77" spans="1:14" s="150" customFormat="1" ht="15.75">
      <c r="A77" s="165"/>
      <c r="B77" s="167"/>
      <c r="C77" s="165"/>
      <c r="D77" s="165"/>
      <c r="E77" s="164"/>
      <c r="F77" s="164"/>
      <c r="G77" s="163"/>
      <c r="N77" s="151"/>
    </row>
    <row r="78" spans="1:14" s="150" customFormat="1" ht="15.75">
      <c r="A78" s="165" t="s">
        <v>230</v>
      </c>
      <c r="B78" s="167">
        <f>C50+C37+C25+C12</f>
        <v>20244.61</v>
      </c>
      <c r="C78" s="175">
        <v>1350000</v>
      </c>
      <c r="D78" s="167">
        <f>C78*B78</f>
        <v>27330223500</v>
      </c>
      <c r="E78" s="174">
        <f>D78-F78</f>
        <v>2928238232.1428604</v>
      </c>
      <c r="F78" s="174">
        <f>D78/1.12</f>
        <v>24401985267.85714</v>
      </c>
      <c r="G78" s="163"/>
      <c r="J78" s="152"/>
      <c r="K78" s="152"/>
      <c r="L78" s="176"/>
      <c r="N78" s="151"/>
    </row>
    <row r="79" spans="1:14" s="150" customFormat="1" ht="15.75">
      <c r="A79" s="165"/>
      <c r="B79" s="167"/>
      <c r="C79" s="175"/>
      <c r="D79" s="167"/>
      <c r="E79" s="174"/>
      <c r="F79" s="174"/>
      <c r="G79" s="163"/>
      <c r="I79" s="152"/>
      <c r="K79" s="152"/>
      <c r="N79" s="151"/>
    </row>
    <row r="80" spans="1:14" s="150" customFormat="1" ht="15.75">
      <c r="A80" s="165" t="s">
        <v>229</v>
      </c>
      <c r="B80" s="167">
        <f>C11+C24+C36+C49</f>
        <v>4760.79</v>
      </c>
      <c r="C80" s="175">
        <v>1550000</v>
      </c>
      <c r="D80" s="167">
        <f>C80*B80</f>
        <v>7379224500</v>
      </c>
      <c r="E80" s="174">
        <f>D80-F80</f>
        <v>790631196.4285717</v>
      </c>
      <c r="F80" s="174">
        <f>D80/1.12</f>
        <v>6588593303.5714283</v>
      </c>
      <c r="G80" s="163"/>
      <c r="N80" s="151"/>
    </row>
    <row r="81" spans="1:14" s="150" customFormat="1" ht="15.75">
      <c r="A81" s="165"/>
      <c r="B81" s="167"/>
      <c r="C81" s="175"/>
      <c r="D81" s="167"/>
      <c r="E81" s="174"/>
      <c r="F81" s="174"/>
      <c r="G81" s="163"/>
      <c r="K81" s="152"/>
      <c r="N81" s="151"/>
    </row>
    <row r="82" spans="1:14" s="150" customFormat="1" ht="15.75">
      <c r="A82" s="165" t="s">
        <v>228</v>
      </c>
      <c r="B82" s="167">
        <v>194</v>
      </c>
      <c r="C82" s="175">
        <v>4800000</v>
      </c>
      <c r="D82" s="167">
        <f>C82*B82</f>
        <v>931200000</v>
      </c>
      <c r="E82" s="174">
        <f>D82-F82</f>
        <v>99771428.571428657</v>
      </c>
      <c r="F82" s="174">
        <f>D82/1.12</f>
        <v>831428571.42857134</v>
      </c>
      <c r="G82" s="163"/>
      <c r="N82" s="151"/>
    </row>
    <row r="83" spans="1:14" s="150" customFormat="1" ht="15.75">
      <c r="A83" s="165"/>
      <c r="B83" s="167"/>
      <c r="C83" s="165"/>
      <c r="D83" s="167"/>
      <c r="E83" s="174"/>
      <c r="F83" s="174"/>
      <c r="G83" s="163"/>
      <c r="K83" s="152"/>
      <c r="N83" s="151"/>
    </row>
    <row r="84" spans="1:14" s="150" customFormat="1" ht="15.75">
      <c r="A84" s="165" t="s">
        <v>227</v>
      </c>
      <c r="B84" s="167">
        <v>1106</v>
      </c>
      <c r="C84" s="175">
        <v>350000</v>
      </c>
      <c r="D84" s="167">
        <f>C84*B84</f>
        <v>387100000</v>
      </c>
      <c r="E84" s="174">
        <f>D84-F84</f>
        <v>41475000.00000006</v>
      </c>
      <c r="F84" s="174">
        <f>D84/1.12</f>
        <v>345624999.99999994</v>
      </c>
      <c r="G84" s="163"/>
      <c r="N84" s="151"/>
    </row>
    <row r="85" spans="1:14" s="150" customFormat="1" ht="15.75">
      <c r="A85" s="165"/>
      <c r="B85" s="167"/>
      <c r="C85" s="165"/>
      <c r="D85" s="165"/>
      <c r="E85" s="164"/>
      <c r="F85" s="164"/>
      <c r="G85" s="163"/>
      <c r="N85" s="151"/>
    </row>
    <row r="86" spans="1:14" s="150" customFormat="1" ht="15.75">
      <c r="A86" s="165"/>
      <c r="B86" s="167"/>
      <c r="C86" s="173" t="s">
        <v>226</v>
      </c>
      <c r="D86" s="172">
        <f>SUM(D78:D85)</f>
        <v>36027748000</v>
      </c>
      <c r="E86" s="172">
        <f>SUM(E78:E85)</f>
        <v>3860115857.1428609</v>
      </c>
      <c r="F86" s="172">
        <f>SUM(F78:F85)</f>
        <v>32167632142.857136</v>
      </c>
      <c r="G86" s="163"/>
      <c r="N86" s="151"/>
    </row>
    <row r="87" spans="1:14" s="150" customFormat="1" ht="15.75">
      <c r="A87" s="165"/>
      <c r="B87" s="167"/>
      <c r="C87" s="165"/>
      <c r="D87" s="165"/>
      <c r="E87" s="164"/>
      <c r="F87" s="164"/>
      <c r="G87" s="163"/>
      <c r="K87" s="168"/>
      <c r="N87" s="151"/>
    </row>
    <row r="88" spans="1:14" s="150" customFormat="1" ht="31.5">
      <c r="A88" s="165"/>
      <c r="B88" s="167"/>
      <c r="C88" s="171" t="s">
        <v>225</v>
      </c>
      <c r="D88" s="169"/>
      <c r="E88" s="170"/>
      <c r="F88" s="169">
        <f>F86-F74</f>
        <v>10507908858.928566</v>
      </c>
      <c r="G88" s="163"/>
      <c r="N88" s="151"/>
    </row>
    <row r="89" spans="1:14" s="150" customFormat="1" ht="15.75">
      <c r="A89" s="165"/>
      <c r="B89" s="167"/>
      <c r="C89" s="165"/>
      <c r="D89" s="165"/>
      <c r="E89" s="164"/>
      <c r="F89" s="164"/>
      <c r="G89" s="163"/>
      <c r="K89" s="168"/>
      <c r="M89" s="152"/>
      <c r="N89" s="151"/>
    </row>
    <row r="90" spans="1:14" s="150" customFormat="1" ht="15.75">
      <c r="A90" s="165"/>
      <c r="B90" s="167"/>
      <c r="C90" s="166" t="s">
        <v>224</v>
      </c>
      <c r="D90" s="165"/>
      <c r="E90" s="164"/>
      <c r="F90" s="158">
        <f>E86-E74</f>
        <v>2998450471.0714316</v>
      </c>
      <c r="G90" s="163"/>
      <c r="N90" s="151"/>
    </row>
    <row r="91" spans="1:14" s="150" customFormat="1" ht="15.75">
      <c r="A91" s="160"/>
      <c r="B91" s="162"/>
      <c r="C91" s="161" t="s">
        <v>223</v>
      </c>
      <c r="D91" s="160"/>
      <c r="E91" s="159"/>
      <c r="F91" s="158">
        <f>F88*0.2</f>
        <v>2101581771.7857132</v>
      </c>
      <c r="G91" s="157"/>
      <c r="N91" s="151"/>
    </row>
    <row r="92" spans="1:14" s="150" customFormat="1" ht="15.75">
      <c r="A92" s="160"/>
      <c r="B92" s="162"/>
      <c r="C92" s="161"/>
      <c r="D92" s="160"/>
      <c r="E92" s="159"/>
      <c r="F92" s="436"/>
      <c r="G92" s="157"/>
      <c r="N92" s="151"/>
    </row>
    <row r="93" spans="1:14" s="150" customFormat="1" ht="47.25">
      <c r="A93" s="160"/>
      <c r="B93" s="162"/>
      <c r="C93" s="437" t="s">
        <v>355</v>
      </c>
      <c r="D93" s="438"/>
      <c r="E93" s="439"/>
      <c r="F93" s="440">
        <f>F88-F90-F91</f>
        <v>5407876616.0714207</v>
      </c>
      <c r="G93" s="157"/>
      <c r="N93" s="151"/>
    </row>
    <row r="94" spans="1:14" s="150" customFormat="1" ht="16.5" thickBot="1">
      <c r="A94" s="155"/>
      <c r="B94" s="156"/>
      <c r="C94" s="155"/>
      <c r="D94" s="155"/>
      <c r="E94" s="154"/>
      <c r="F94" s="154"/>
      <c r="G94" s="153"/>
      <c r="I94" s="152"/>
      <c r="M94" s="152"/>
      <c r="N94" s="151"/>
    </row>
    <row r="97" spans="9:12">
      <c r="I97" s="149"/>
      <c r="L97" s="149"/>
    </row>
    <row r="98" spans="9:12">
      <c r="L98" s="149"/>
    </row>
    <row r="99" spans="9:12">
      <c r="L99" s="149"/>
    </row>
    <row r="100" spans="9:12">
      <c r="L100" s="149"/>
    </row>
    <row r="101" spans="9:12">
      <c r="L101" s="149"/>
    </row>
    <row r="104" spans="9:12" ht="15">
      <c r="L104" s="148"/>
    </row>
    <row r="107" spans="9:12">
      <c r="I107" s="75"/>
      <c r="L107" s="7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75"/>
  <sheetViews>
    <sheetView zoomScale="80" zoomScaleNormal="80" workbookViewId="0">
      <pane xSplit="2" ySplit="2" topLeftCell="R36" activePane="bottomRight" state="frozen"/>
      <selection pane="topRight" activeCell="C1" sqref="C1"/>
      <selection pane="bottomLeft" activeCell="A3" sqref="A3"/>
      <selection pane="bottomRight" activeCell="W59" sqref="W59"/>
    </sheetView>
  </sheetViews>
  <sheetFormatPr defaultColWidth="8" defaultRowHeight="15.75"/>
  <cols>
    <col min="1" max="1" width="46" style="150" bestFit="1" customWidth="1"/>
    <col min="2" max="2" width="17.625" style="230" bestFit="1" customWidth="1"/>
    <col min="3" max="3" width="18.5" style="150" customWidth="1"/>
    <col min="4" max="4" width="15.75" style="150" customWidth="1"/>
    <col min="5" max="5" width="14.625" style="150" bestFit="1" customWidth="1"/>
    <col min="6" max="6" width="15.25" style="150" customWidth="1"/>
    <col min="7" max="7" width="14.625" style="150" bestFit="1" customWidth="1"/>
    <col min="8" max="8" width="14.875" style="150" customWidth="1"/>
    <col min="9" max="9" width="15.625" style="150" customWidth="1"/>
    <col min="10" max="10" width="15.875" style="150" customWidth="1"/>
    <col min="11" max="11" width="16.125" style="150" customWidth="1"/>
    <col min="12" max="12" width="14.625" style="150" bestFit="1" customWidth="1"/>
    <col min="13" max="13" width="16.125" style="150" customWidth="1"/>
    <col min="14" max="16" width="15.75" style="150" bestFit="1" customWidth="1"/>
    <col min="17" max="17" width="15.875" style="150" customWidth="1"/>
    <col min="18" max="18" width="17" style="150" customWidth="1"/>
    <col min="19" max="19" width="19.5" style="151" customWidth="1"/>
    <col min="20" max="20" width="15" style="150" customWidth="1"/>
    <col min="21" max="21" width="15.75" style="150" customWidth="1"/>
    <col min="22" max="22" width="16.25" style="150" customWidth="1"/>
    <col min="23" max="23" width="18.125" style="150" customWidth="1"/>
    <col min="24" max="16384" width="8" style="150"/>
  </cols>
  <sheetData>
    <row r="2" spans="1:19" ht="33" customHeight="1">
      <c r="A2" s="294" t="s">
        <v>278</v>
      </c>
      <c r="B2" s="298" t="s">
        <v>277</v>
      </c>
      <c r="C2" s="303">
        <v>45658</v>
      </c>
      <c r="D2" s="301">
        <v>45689</v>
      </c>
      <c r="E2" s="312">
        <v>45717</v>
      </c>
      <c r="F2" s="311">
        <v>45748</v>
      </c>
      <c r="G2" s="310">
        <v>45778</v>
      </c>
      <c r="H2" s="309">
        <v>45809</v>
      </c>
      <c r="I2" s="306">
        <v>45839</v>
      </c>
      <c r="J2" s="308">
        <v>45870</v>
      </c>
      <c r="K2" s="307">
        <v>45901</v>
      </c>
      <c r="L2" s="306">
        <v>45931</v>
      </c>
      <c r="M2" s="305">
        <v>45962</v>
      </c>
      <c r="N2" s="304">
        <v>45992</v>
      </c>
      <c r="O2" s="301">
        <v>46023</v>
      </c>
      <c r="P2" s="303">
        <v>46054</v>
      </c>
      <c r="Q2" s="302">
        <v>46082</v>
      </c>
      <c r="R2" s="301">
        <v>46113</v>
      </c>
      <c r="S2" s="300" t="s">
        <v>314</v>
      </c>
    </row>
    <row r="3" spans="1:19" ht="31.5">
      <c r="A3" s="299" t="s">
        <v>313</v>
      </c>
      <c r="B3" s="298"/>
      <c r="C3" s="240"/>
      <c r="D3" s="238"/>
      <c r="E3" s="249"/>
      <c r="F3" s="248"/>
      <c r="G3" s="247"/>
      <c r="H3" s="246"/>
      <c r="I3" s="243"/>
      <c r="J3" s="245"/>
      <c r="K3" s="244"/>
      <c r="L3" s="243"/>
      <c r="M3" s="242"/>
      <c r="N3" s="241"/>
      <c r="O3" s="238"/>
      <c r="P3" s="240"/>
      <c r="Q3" s="239"/>
      <c r="R3" s="238"/>
      <c r="S3" s="279"/>
    </row>
    <row r="4" spans="1:19">
      <c r="A4" s="294" t="s">
        <v>312</v>
      </c>
      <c r="B4" s="298"/>
      <c r="C4" s="240"/>
      <c r="D4" s="238"/>
      <c r="E4" s="249"/>
      <c r="F4" s="248"/>
      <c r="G4" s="247"/>
      <c r="H4" s="246"/>
      <c r="I4" s="243"/>
      <c r="J4" s="245"/>
      <c r="K4" s="244"/>
      <c r="L4" s="243"/>
      <c r="M4" s="242"/>
      <c r="N4" s="241"/>
      <c r="O4" s="238"/>
      <c r="P4" s="240"/>
      <c r="Q4" s="239"/>
      <c r="R4" s="238"/>
      <c r="S4" s="279"/>
    </row>
    <row r="5" spans="1:19">
      <c r="A5" s="292" t="s">
        <v>211</v>
      </c>
      <c r="B5" s="291">
        <f>C5+D5</f>
        <v>65000000</v>
      </c>
      <c r="C5" s="282">
        <v>39500000</v>
      </c>
      <c r="D5" s="280">
        <v>25500000</v>
      </c>
      <c r="E5" s="290"/>
      <c r="F5" s="289"/>
      <c r="G5" s="288"/>
      <c r="H5" s="287"/>
      <c r="I5" s="284"/>
      <c r="J5" s="286"/>
      <c r="K5" s="285"/>
      <c r="L5" s="284"/>
      <c r="M5" s="250"/>
      <c r="N5" s="283"/>
      <c r="O5" s="280"/>
      <c r="P5" s="282"/>
      <c r="Q5" s="281"/>
      <c r="R5" s="238"/>
      <c r="S5" s="279"/>
    </row>
    <row r="6" spans="1:19">
      <c r="A6" s="292" t="s">
        <v>212</v>
      </c>
      <c r="B6" s="291">
        <f>(C6+D6+E6+F6)</f>
        <v>129480000</v>
      </c>
      <c r="C6" s="282">
        <v>45444000</v>
      </c>
      <c r="D6" s="280">
        <v>47716200</v>
      </c>
      <c r="E6" s="290">
        <v>19000000</v>
      </c>
      <c r="F6" s="289">
        <f>39319800-22000000</f>
        <v>17319800</v>
      </c>
      <c r="G6" s="288"/>
      <c r="H6" s="287"/>
      <c r="I6" s="284"/>
      <c r="J6" s="286"/>
      <c r="K6" s="285"/>
      <c r="L6" s="284"/>
      <c r="M6" s="250"/>
      <c r="N6" s="283"/>
      <c r="O6" s="280"/>
      <c r="P6" s="282"/>
      <c r="Q6" s="281"/>
      <c r="R6" s="238"/>
      <c r="S6" s="279"/>
    </row>
    <row r="7" spans="1:19">
      <c r="A7" s="292" t="s">
        <v>219</v>
      </c>
      <c r="B7" s="291">
        <f t="shared" ref="B7:B13" si="0">SUM(C7:R7)</f>
        <v>432300000</v>
      </c>
      <c r="C7" s="282">
        <v>19800000</v>
      </c>
      <c r="D7" s="280">
        <v>27500000</v>
      </c>
      <c r="E7" s="290">
        <f t="shared" ref="E7:R7" si="1">D7</f>
        <v>27500000</v>
      </c>
      <c r="F7" s="289">
        <f t="shared" si="1"/>
        <v>27500000</v>
      </c>
      <c r="G7" s="288">
        <f t="shared" si="1"/>
        <v>27500000</v>
      </c>
      <c r="H7" s="287">
        <f t="shared" si="1"/>
        <v>27500000</v>
      </c>
      <c r="I7" s="284">
        <f t="shared" si="1"/>
        <v>27500000</v>
      </c>
      <c r="J7" s="286">
        <f t="shared" si="1"/>
        <v>27500000</v>
      </c>
      <c r="K7" s="285">
        <f t="shared" si="1"/>
        <v>27500000</v>
      </c>
      <c r="L7" s="284">
        <f t="shared" si="1"/>
        <v>27500000</v>
      </c>
      <c r="M7" s="250">
        <f t="shared" si="1"/>
        <v>27500000</v>
      </c>
      <c r="N7" s="283">
        <f t="shared" si="1"/>
        <v>27500000</v>
      </c>
      <c r="O7" s="280">
        <f t="shared" si="1"/>
        <v>27500000</v>
      </c>
      <c r="P7" s="282">
        <f t="shared" si="1"/>
        <v>27500000</v>
      </c>
      <c r="Q7" s="281">
        <f t="shared" si="1"/>
        <v>27500000</v>
      </c>
      <c r="R7" s="280">
        <f t="shared" si="1"/>
        <v>27500000</v>
      </c>
      <c r="S7" s="279"/>
    </row>
    <row r="8" spans="1:19">
      <c r="A8" s="292" t="s">
        <v>213</v>
      </c>
      <c r="B8" s="291">
        <f t="shared" si="0"/>
        <v>117000000</v>
      </c>
      <c r="C8" s="282">
        <v>95000000</v>
      </c>
      <c r="D8" s="280">
        <v>22000000</v>
      </c>
      <c r="E8" s="290"/>
      <c r="F8" s="289"/>
      <c r="G8" s="288"/>
      <c r="H8" s="287"/>
      <c r="I8" s="284"/>
      <c r="J8" s="286"/>
      <c r="K8" s="285"/>
      <c r="L8" s="284"/>
      <c r="M8" s="250"/>
      <c r="N8" s="283"/>
      <c r="O8" s="280"/>
      <c r="P8" s="282"/>
      <c r="Q8" s="281"/>
      <c r="R8" s="238"/>
      <c r="S8" s="279"/>
    </row>
    <row r="9" spans="1:19">
      <c r="A9" s="295" t="s">
        <v>311</v>
      </c>
      <c r="B9" s="250">
        <f t="shared" si="0"/>
        <v>60000000</v>
      </c>
      <c r="C9" s="282"/>
      <c r="D9" s="280">
        <v>38000000</v>
      </c>
      <c r="E9" s="290">
        <v>22000000</v>
      </c>
      <c r="F9" s="289"/>
      <c r="G9" s="288"/>
      <c r="H9" s="287"/>
      <c r="I9" s="284"/>
      <c r="J9" s="286"/>
      <c r="K9" s="285"/>
      <c r="L9" s="284"/>
      <c r="M9" s="250"/>
      <c r="N9" s="283"/>
      <c r="O9" s="280"/>
      <c r="P9" s="282"/>
      <c r="Q9" s="281"/>
      <c r="R9" s="238"/>
      <c r="S9" s="279"/>
    </row>
    <row r="10" spans="1:19">
      <c r="A10" s="292" t="s">
        <v>215</v>
      </c>
      <c r="B10" s="291">
        <f t="shared" si="0"/>
        <v>60000000</v>
      </c>
      <c r="C10" s="282">
        <v>35000000</v>
      </c>
      <c r="D10" s="280">
        <v>25000000</v>
      </c>
      <c r="E10" s="290"/>
      <c r="F10" s="289"/>
      <c r="G10" s="288"/>
      <c r="H10" s="287"/>
      <c r="I10" s="284"/>
      <c r="J10" s="286"/>
      <c r="K10" s="285"/>
      <c r="L10" s="284"/>
      <c r="M10" s="250"/>
      <c r="N10" s="283"/>
      <c r="O10" s="280"/>
      <c r="P10" s="282"/>
      <c r="Q10" s="281"/>
      <c r="R10" s="238"/>
      <c r="S10" s="279"/>
    </row>
    <row r="11" spans="1:19">
      <c r="A11" s="293" t="s">
        <v>216</v>
      </c>
      <c r="B11" s="291">
        <f t="shared" si="0"/>
        <v>25000000</v>
      </c>
      <c r="C11" s="282"/>
      <c r="D11" s="280">
        <v>25000000</v>
      </c>
      <c r="E11" s="290"/>
      <c r="F11" s="289"/>
      <c r="G11" s="288"/>
      <c r="H11" s="287"/>
      <c r="I11" s="284"/>
      <c r="J11" s="286"/>
      <c r="K11" s="285"/>
      <c r="L11" s="284"/>
      <c r="M11" s="250"/>
      <c r="N11" s="283"/>
      <c r="O11" s="280"/>
      <c r="P11" s="282"/>
      <c r="Q11" s="281"/>
      <c r="R11" s="238"/>
      <c r="S11" s="279"/>
    </row>
    <row r="12" spans="1:19">
      <c r="A12" s="293" t="s">
        <v>310</v>
      </c>
      <c r="B12" s="291">
        <f t="shared" si="0"/>
        <v>34650000</v>
      </c>
      <c r="C12" s="282"/>
      <c r="D12" s="280"/>
      <c r="E12" s="290">
        <f t="shared" ref="E12:R12" si="2">150*16500</f>
        <v>2475000</v>
      </c>
      <c r="F12" s="289">
        <f t="shared" si="2"/>
        <v>2475000</v>
      </c>
      <c r="G12" s="288">
        <f t="shared" si="2"/>
        <v>2475000</v>
      </c>
      <c r="H12" s="287">
        <f t="shared" si="2"/>
        <v>2475000</v>
      </c>
      <c r="I12" s="284">
        <f t="shared" si="2"/>
        <v>2475000</v>
      </c>
      <c r="J12" s="297">
        <f t="shared" si="2"/>
        <v>2475000</v>
      </c>
      <c r="K12" s="296">
        <f t="shared" si="2"/>
        <v>2475000</v>
      </c>
      <c r="L12" s="290">
        <f t="shared" si="2"/>
        <v>2475000</v>
      </c>
      <c r="M12" s="290">
        <f t="shared" si="2"/>
        <v>2475000</v>
      </c>
      <c r="N12" s="290">
        <f t="shared" si="2"/>
        <v>2475000</v>
      </c>
      <c r="O12" s="290">
        <f t="shared" si="2"/>
        <v>2475000</v>
      </c>
      <c r="P12" s="290">
        <f t="shared" si="2"/>
        <v>2475000</v>
      </c>
      <c r="Q12" s="290">
        <f t="shared" si="2"/>
        <v>2475000</v>
      </c>
      <c r="R12" s="290">
        <f t="shared" si="2"/>
        <v>2475000</v>
      </c>
      <c r="S12" s="279"/>
    </row>
    <row r="13" spans="1:19">
      <c r="A13" s="293" t="s">
        <v>309</v>
      </c>
      <c r="B13" s="291">
        <f t="shared" si="0"/>
        <v>7000000</v>
      </c>
      <c r="C13" s="282">
        <v>7000000</v>
      </c>
      <c r="D13" s="280"/>
      <c r="E13" s="290"/>
      <c r="F13" s="289"/>
      <c r="G13" s="288"/>
      <c r="H13" s="287"/>
      <c r="I13" s="284"/>
      <c r="J13" s="297"/>
      <c r="K13" s="296"/>
      <c r="L13" s="290"/>
      <c r="M13" s="290"/>
      <c r="N13" s="290"/>
      <c r="O13" s="290"/>
      <c r="P13" s="290"/>
      <c r="Q13" s="290"/>
      <c r="R13" s="290"/>
      <c r="S13" s="279"/>
    </row>
    <row r="14" spans="1:19">
      <c r="A14" s="294" t="s">
        <v>308</v>
      </c>
      <c r="B14" s="250"/>
      <c r="C14" s="282"/>
      <c r="D14" s="280"/>
      <c r="E14" s="290"/>
      <c r="F14" s="289"/>
      <c r="G14" s="288"/>
      <c r="H14" s="287"/>
      <c r="I14" s="284"/>
      <c r="J14" s="286"/>
      <c r="K14" s="285"/>
      <c r="L14" s="284"/>
      <c r="M14" s="250"/>
      <c r="N14" s="283"/>
      <c r="O14" s="280"/>
      <c r="P14" s="282"/>
      <c r="Q14" s="281"/>
      <c r="R14" s="238"/>
      <c r="S14" s="279"/>
    </row>
    <row r="15" spans="1:19">
      <c r="A15" s="293" t="s">
        <v>214</v>
      </c>
      <c r="B15" s="250">
        <f>E15</f>
        <v>110000000</v>
      </c>
      <c r="C15" s="282"/>
      <c r="D15" s="280"/>
      <c r="E15" s="290">
        <v>110000000</v>
      </c>
      <c r="F15" s="289"/>
      <c r="G15" s="288"/>
      <c r="H15" s="287"/>
      <c r="I15" s="284"/>
      <c r="J15" s="286"/>
      <c r="K15" s="285"/>
      <c r="L15" s="284"/>
      <c r="M15" s="250"/>
      <c r="N15" s="283"/>
      <c r="O15" s="280"/>
      <c r="P15" s="282"/>
      <c r="Q15" s="281"/>
      <c r="R15" s="238"/>
      <c r="S15" s="279"/>
    </row>
    <row r="16" spans="1:19">
      <c r="A16" s="293" t="s">
        <v>307</v>
      </c>
      <c r="B16" s="250">
        <f>F16+G16</f>
        <v>88850000</v>
      </c>
      <c r="C16" s="282"/>
      <c r="D16" s="280"/>
      <c r="E16" s="290"/>
      <c r="F16" s="289">
        <v>65200000</v>
      </c>
      <c r="G16" s="288">
        <v>23650000</v>
      </c>
      <c r="H16" s="287"/>
      <c r="I16" s="284"/>
      <c r="J16" s="286"/>
      <c r="K16" s="285"/>
      <c r="L16" s="284"/>
      <c r="M16" s="250"/>
      <c r="N16" s="283"/>
      <c r="O16" s="280"/>
      <c r="P16" s="282"/>
      <c r="Q16" s="281"/>
      <c r="R16" s="238"/>
      <c r="S16" s="279"/>
    </row>
    <row r="17" spans="1:19">
      <c r="A17" s="295" t="s">
        <v>306</v>
      </c>
      <c r="B17" s="250">
        <f>22000*30555</f>
        <v>672210000</v>
      </c>
      <c r="C17" s="282"/>
      <c r="D17" s="280"/>
      <c r="E17" s="290"/>
      <c r="F17" s="289">
        <v>402000000</v>
      </c>
      <c r="G17" s="288">
        <v>168950600</v>
      </c>
      <c r="H17" s="287">
        <v>101256320</v>
      </c>
      <c r="I17" s="284"/>
      <c r="J17" s="286"/>
      <c r="K17" s="285"/>
      <c r="L17" s="284"/>
      <c r="M17" s="250"/>
      <c r="N17" s="283"/>
      <c r="O17" s="280"/>
      <c r="P17" s="282"/>
      <c r="Q17" s="281"/>
      <c r="R17" s="238"/>
      <c r="S17" s="279"/>
    </row>
    <row r="18" spans="1:19">
      <c r="A18" s="295" t="s">
        <v>305</v>
      </c>
      <c r="B18" s="250">
        <f>22000*17500</f>
        <v>385000000</v>
      </c>
      <c r="C18" s="282"/>
      <c r="D18" s="280"/>
      <c r="E18" s="290"/>
      <c r="F18" s="289"/>
      <c r="G18" s="288">
        <f>B18*80%</f>
        <v>308000000</v>
      </c>
      <c r="H18" s="287">
        <f>B18-G18</f>
        <v>77000000</v>
      </c>
      <c r="I18" s="284"/>
      <c r="J18" s="286"/>
      <c r="K18" s="285"/>
      <c r="L18" s="284"/>
      <c r="M18" s="250"/>
      <c r="N18" s="283"/>
      <c r="O18" s="280"/>
      <c r="P18" s="282"/>
      <c r="Q18" s="281"/>
      <c r="R18" s="238"/>
      <c r="S18" s="279"/>
    </row>
    <row r="19" spans="1:19">
      <c r="A19" s="293" t="s">
        <v>304</v>
      </c>
      <c r="B19" s="250">
        <f>2000*40000</f>
        <v>80000000</v>
      </c>
      <c r="C19" s="282"/>
      <c r="D19" s="280"/>
      <c r="E19" s="290"/>
      <c r="F19" s="289"/>
      <c r="G19" s="288">
        <f>B19*60%</f>
        <v>48000000</v>
      </c>
      <c r="H19" s="287">
        <f>B19-G19</f>
        <v>32000000</v>
      </c>
      <c r="I19" s="284"/>
      <c r="J19" s="286"/>
      <c r="K19" s="285"/>
      <c r="L19" s="284"/>
      <c r="M19" s="250"/>
      <c r="N19" s="283"/>
      <c r="O19" s="280"/>
      <c r="P19" s="282"/>
      <c r="Q19" s="281"/>
      <c r="R19" s="238"/>
      <c r="S19" s="279"/>
    </row>
    <row r="20" spans="1:19">
      <c r="A20" s="293" t="s">
        <v>303</v>
      </c>
      <c r="B20" s="250">
        <f>4507*76150</f>
        <v>343208050</v>
      </c>
      <c r="C20" s="282"/>
      <c r="D20" s="280"/>
      <c r="E20" s="290"/>
      <c r="F20" s="289">
        <f>B20*60%</f>
        <v>205924830</v>
      </c>
      <c r="G20" s="288">
        <v>75000000</v>
      </c>
      <c r="H20" s="287">
        <f>B20-F20-G20</f>
        <v>62283220</v>
      </c>
      <c r="I20" s="284"/>
      <c r="J20" s="286"/>
      <c r="K20" s="285"/>
      <c r="L20" s="284"/>
      <c r="M20" s="250"/>
      <c r="N20" s="283"/>
      <c r="O20" s="280"/>
      <c r="P20" s="282"/>
      <c r="Q20" s="281"/>
      <c r="R20" s="238"/>
      <c r="S20" s="279"/>
    </row>
    <row r="21" spans="1:19">
      <c r="A21" s="293" t="s">
        <v>302</v>
      </c>
      <c r="B21" s="250">
        <f>F21</f>
        <v>6000000</v>
      </c>
      <c r="C21" s="282"/>
      <c r="D21" s="280"/>
      <c r="E21" s="290"/>
      <c r="F21" s="289">
        <v>6000000</v>
      </c>
      <c r="G21" s="288"/>
      <c r="H21" s="287"/>
      <c r="I21" s="284"/>
      <c r="J21" s="286"/>
      <c r="K21" s="285"/>
      <c r="L21" s="284"/>
      <c r="M21" s="250"/>
      <c r="N21" s="283"/>
      <c r="O21" s="280"/>
      <c r="P21" s="282"/>
      <c r="Q21" s="281"/>
      <c r="R21" s="238"/>
      <c r="S21" s="279"/>
    </row>
    <row r="22" spans="1:19">
      <c r="A22" s="294" t="s">
        <v>301</v>
      </c>
      <c r="B22" s="250"/>
      <c r="C22" s="282"/>
      <c r="D22" s="280"/>
      <c r="E22" s="290"/>
      <c r="F22" s="289"/>
      <c r="G22" s="288"/>
      <c r="H22" s="287"/>
      <c r="I22" s="284"/>
      <c r="J22" s="286"/>
      <c r="K22" s="285"/>
      <c r="L22" s="284"/>
      <c r="M22" s="250"/>
      <c r="N22" s="283"/>
      <c r="O22" s="280"/>
      <c r="P22" s="282"/>
      <c r="Q22" s="281"/>
      <c r="R22" s="238"/>
      <c r="S22" s="279"/>
    </row>
    <row r="23" spans="1:19">
      <c r="A23" s="293" t="s">
        <v>300</v>
      </c>
      <c r="B23" s="250">
        <f t="shared" ref="B23:B30" si="3">SUM(C23:R23)</f>
        <v>213200000</v>
      </c>
      <c r="C23" s="282"/>
      <c r="D23" s="280"/>
      <c r="E23" s="290"/>
      <c r="F23" s="289"/>
      <c r="G23" s="288"/>
      <c r="H23" s="287">
        <v>49500000</v>
      </c>
      <c r="I23" s="284">
        <v>32500000</v>
      </c>
      <c r="J23" s="286">
        <v>75000000</v>
      </c>
      <c r="K23" s="285">
        <v>56200000</v>
      </c>
      <c r="L23" s="284"/>
      <c r="M23" s="250"/>
      <c r="N23" s="283"/>
      <c r="O23" s="280"/>
      <c r="P23" s="282"/>
      <c r="Q23" s="281"/>
      <c r="R23" s="238"/>
      <c r="S23" s="279"/>
    </row>
    <row r="24" spans="1:19">
      <c r="A24" s="293" t="s">
        <v>299</v>
      </c>
      <c r="B24" s="250">
        <f t="shared" si="3"/>
        <v>503652000</v>
      </c>
      <c r="C24" s="282"/>
      <c r="D24" s="280"/>
      <c r="E24" s="290"/>
      <c r="F24" s="289"/>
      <c r="G24" s="288"/>
      <c r="H24" s="287">
        <v>165000000</v>
      </c>
      <c r="I24" s="284">
        <v>230000000</v>
      </c>
      <c r="J24" s="286">
        <v>70000000</v>
      </c>
      <c r="K24" s="285">
        <v>38652000</v>
      </c>
      <c r="L24" s="284"/>
      <c r="M24" s="250"/>
      <c r="N24" s="283"/>
      <c r="O24" s="280"/>
      <c r="P24" s="282"/>
      <c r="Q24" s="281"/>
      <c r="R24" s="238"/>
      <c r="S24" s="279"/>
    </row>
    <row r="25" spans="1:19">
      <c r="A25" s="293" t="s">
        <v>298</v>
      </c>
      <c r="B25" s="250">
        <f t="shared" si="3"/>
        <v>372240000</v>
      </c>
      <c r="C25" s="282"/>
      <c r="D25" s="280"/>
      <c r="E25" s="290"/>
      <c r="F25" s="289"/>
      <c r="G25" s="288"/>
      <c r="H25" s="287">
        <v>165000000</v>
      </c>
      <c r="I25" s="284">
        <v>145200000</v>
      </c>
      <c r="J25" s="286">
        <v>37520000</v>
      </c>
      <c r="K25" s="285">
        <v>24520000</v>
      </c>
      <c r="L25" s="284"/>
      <c r="M25" s="250"/>
      <c r="N25" s="283"/>
      <c r="O25" s="280"/>
      <c r="P25" s="282"/>
      <c r="Q25" s="281"/>
      <c r="R25" s="238"/>
      <c r="S25" s="279"/>
    </row>
    <row r="26" spans="1:19">
      <c r="A26" s="293" t="s">
        <v>297</v>
      </c>
      <c r="B26" s="250">
        <f t="shared" si="3"/>
        <v>94900000</v>
      </c>
      <c r="C26" s="282"/>
      <c r="D26" s="280"/>
      <c r="E26" s="290"/>
      <c r="F26" s="289"/>
      <c r="G26" s="288"/>
      <c r="H26" s="287">
        <v>34500000</v>
      </c>
      <c r="I26" s="284">
        <v>25200000</v>
      </c>
      <c r="J26" s="286">
        <v>35200000</v>
      </c>
      <c r="K26" s="285"/>
      <c r="L26" s="284"/>
      <c r="M26" s="250"/>
      <c r="N26" s="283"/>
      <c r="O26" s="280"/>
      <c r="P26" s="282"/>
      <c r="Q26" s="281"/>
      <c r="R26" s="238"/>
      <c r="S26" s="279"/>
    </row>
    <row r="27" spans="1:19">
      <c r="A27" s="293" t="s">
        <v>296</v>
      </c>
      <c r="B27" s="250">
        <f t="shared" si="3"/>
        <v>317000000</v>
      </c>
      <c r="C27" s="282"/>
      <c r="D27" s="280"/>
      <c r="E27" s="290"/>
      <c r="F27" s="289"/>
      <c r="G27" s="288"/>
      <c r="H27" s="287"/>
      <c r="I27" s="284"/>
      <c r="J27" s="286">
        <v>265000000</v>
      </c>
      <c r="K27" s="285">
        <v>52000000</v>
      </c>
      <c r="L27" s="284"/>
      <c r="M27" s="250"/>
      <c r="N27" s="283"/>
      <c r="O27" s="280"/>
      <c r="P27" s="282"/>
      <c r="Q27" s="281"/>
      <c r="R27" s="238"/>
      <c r="S27" s="279"/>
    </row>
    <row r="28" spans="1:19">
      <c r="A28" s="293" t="s">
        <v>295</v>
      </c>
      <c r="B28" s="250">
        <f t="shared" si="3"/>
        <v>63600000</v>
      </c>
      <c r="C28" s="282"/>
      <c r="D28" s="280"/>
      <c r="E28" s="290"/>
      <c r="F28" s="289"/>
      <c r="G28" s="288"/>
      <c r="H28" s="287"/>
      <c r="I28" s="284">
        <v>48600000</v>
      </c>
      <c r="J28" s="286">
        <v>15000000</v>
      </c>
      <c r="K28" s="285"/>
      <c r="L28" s="284"/>
      <c r="M28" s="250"/>
      <c r="N28" s="283"/>
      <c r="O28" s="280"/>
      <c r="P28" s="282"/>
      <c r="Q28" s="281"/>
      <c r="R28" s="238"/>
      <c r="S28" s="279"/>
    </row>
    <row r="29" spans="1:19">
      <c r="A29" s="293" t="s">
        <v>294</v>
      </c>
      <c r="B29" s="250">
        <f t="shared" si="3"/>
        <v>483700000</v>
      </c>
      <c r="C29" s="282"/>
      <c r="D29" s="280"/>
      <c r="E29" s="290"/>
      <c r="F29" s="289"/>
      <c r="G29" s="288"/>
      <c r="H29" s="287"/>
      <c r="I29" s="284">
        <v>285200000</v>
      </c>
      <c r="J29" s="286">
        <v>198500000</v>
      </c>
      <c r="K29" s="285"/>
      <c r="L29" s="284"/>
      <c r="M29" s="250"/>
      <c r="N29" s="283"/>
      <c r="O29" s="280"/>
      <c r="P29" s="282"/>
      <c r="Q29" s="281"/>
      <c r="R29" s="238"/>
      <c r="S29" s="279"/>
    </row>
    <row r="30" spans="1:19">
      <c r="A30" s="293" t="s">
        <v>121</v>
      </c>
      <c r="B30" s="250">
        <f t="shared" si="3"/>
        <v>285000000</v>
      </c>
      <c r="C30" s="282"/>
      <c r="D30" s="280"/>
      <c r="E30" s="290"/>
      <c r="F30" s="289"/>
      <c r="G30" s="288"/>
      <c r="H30" s="287">
        <v>285000000</v>
      </c>
      <c r="I30" s="284"/>
      <c r="J30" s="286"/>
      <c r="K30" s="285"/>
      <c r="L30" s="284"/>
      <c r="M30" s="250"/>
      <c r="N30" s="283"/>
      <c r="O30" s="280"/>
      <c r="P30" s="282"/>
      <c r="Q30" s="281"/>
      <c r="R30" s="238"/>
      <c r="S30" s="279"/>
    </row>
    <row r="31" spans="1:19">
      <c r="A31" s="293" t="s">
        <v>293</v>
      </c>
      <c r="B31" s="250">
        <f>10000*0.18*315000</f>
        <v>567000000</v>
      </c>
      <c r="C31" s="282"/>
      <c r="D31" s="280"/>
      <c r="E31" s="290"/>
      <c r="F31" s="289"/>
      <c r="G31" s="288"/>
      <c r="H31" s="287"/>
      <c r="I31" s="284">
        <v>106500000</v>
      </c>
      <c r="J31" s="286">
        <v>156000000</v>
      </c>
      <c r="K31" s="285">
        <f>B31-I31-J31</f>
        <v>304500000</v>
      </c>
      <c r="L31" s="284"/>
      <c r="M31" s="250"/>
      <c r="N31" s="283"/>
      <c r="O31" s="280"/>
      <c r="P31" s="282"/>
      <c r="Q31" s="281"/>
      <c r="R31" s="238"/>
      <c r="S31" s="279"/>
    </row>
    <row r="32" spans="1:19">
      <c r="A32" s="293" t="s">
        <v>292</v>
      </c>
      <c r="B32" s="250">
        <f>10000*21500</f>
        <v>215000000</v>
      </c>
      <c r="C32" s="282"/>
      <c r="D32" s="280"/>
      <c r="E32" s="290"/>
      <c r="F32" s="289"/>
      <c r="G32" s="288"/>
      <c r="H32" s="287"/>
      <c r="I32" s="284">
        <v>58600000</v>
      </c>
      <c r="J32" s="286">
        <v>35000000</v>
      </c>
      <c r="K32" s="285">
        <v>28500000</v>
      </c>
      <c r="L32" s="284">
        <v>45000000</v>
      </c>
      <c r="M32" s="250">
        <v>28500000</v>
      </c>
      <c r="N32" s="283">
        <v>29400000</v>
      </c>
      <c r="O32" s="280"/>
      <c r="P32" s="282"/>
      <c r="Q32" s="281"/>
      <c r="R32" s="238"/>
      <c r="S32" s="279"/>
    </row>
    <row r="33" spans="1:19">
      <c r="A33" s="294" t="s">
        <v>291</v>
      </c>
      <c r="B33" s="250"/>
      <c r="C33" s="282"/>
      <c r="D33" s="280"/>
      <c r="E33" s="290"/>
      <c r="F33" s="289"/>
      <c r="G33" s="288"/>
      <c r="H33" s="287"/>
      <c r="I33" s="284"/>
      <c r="J33" s="286"/>
      <c r="K33" s="285"/>
      <c r="L33" s="284"/>
      <c r="M33" s="250"/>
      <c r="N33" s="283"/>
      <c r="O33" s="280"/>
      <c r="P33" s="282"/>
      <c r="Q33" s="281"/>
      <c r="R33" s="238"/>
      <c r="S33" s="279"/>
    </row>
    <row r="34" spans="1:19">
      <c r="A34" s="293" t="s">
        <v>290</v>
      </c>
      <c r="B34" s="250">
        <f>10000*39000</f>
        <v>390000000</v>
      </c>
      <c r="C34" s="282"/>
      <c r="D34" s="280"/>
      <c r="E34" s="290"/>
      <c r="F34" s="289"/>
      <c r="G34" s="288"/>
      <c r="H34" s="287"/>
      <c r="I34" s="284">
        <f>1500*42500</f>
        <v>63750000</v>
      </c>
      <c r="J34" s="286">
        <f>I34</f>
        <v>63750000</v>
      </c>
      <c r="K34" s="285">
        <f>J34</f>
        <v>63750000</v>
      </c>
      <c r="L34" s="284">
        <f>K34</f>
        <v>63750000</v>
      </c>
      <c r="M34" s="250">
        <f>L34</f>
        <v>63750000</v>
      </c>
      <c r="N34" s="283">
        <f>M34</f>
        <v>63750000</v>
      </c>
      <c r="O34" s="280">
        <v>37500000</v>
      </c>
      <c r="P34" s="282"/>
      <c r="Q34" s="281"/>
      <c r="R34" s="238"/>
      <c r="S34" s="279"/>
    </row>
    <row r="35" spans="1:19">
      <c r="A35" s="293" t="s">
        <v>289</v>
      </c>
      <c r="B35" s="250">
        <f>SUM(C35:R35)</f>
        <v>60000000</v>
      </c>
      <c r="C35" s="282"/>
      <c r="D35" s="280"/>
      <c r="E35" s="290"/>
      <c r="F35" s="289"/>
      <c r="G35" s="288"/>
      <c r="H35" s="287"/>
      <c r="I35" s="284"/>
      <c r="J35" s="286"/>
      <c r="K35" s="285">
        <v>15000000</v>
      </c>
      <c r="L35" s="284">
        <f>K35</f>
        <v>15000000</v>
      </c>
      <c r="M35" s="250">
        <f>L35</f>
        <v>15000000</v>
      </c>
      <c r="N35" s="283">
        <f>M35</f>
        <v>15000000</v>
      </c>
      <c r="O35" s="280"/>
      <c r="P35" s="282"/>
      <c r="Q35" s="281"/>
      <c r="R35" s="238"/>
      <c r="S35" s="279"/>
    </row>
    <row r="36" spans="1:19">
      <c r="A36" s="293" t="s">
        <v>288</v>
      </c>
      <c r="B36" s="250">
        <f>SUM(C36:R36)</f>
        <v>319220000</v>
      </c>
      <c r="C36" s="282"/>
      <c r="D36" s="280"/>
      <c r="E36" s="290"/>
      <c r="F36" s="289"/>
      <c r="G36" s="288"/>
      <c r="H36" s="287"/>
      <c r="I36" s="284"/>
      <c r="J36" s="286"/>
      <c r="K36" s="285">
        <v>86500000</v>
      </c>
      <c r="L36" s="284">
        <v>52000000</v>
      </c>
      <c r="M36" s="250">
        <v>75620000</v>
      </c>
      <c r="N36" s="283">
        <v>56500000</v>
      </c>
      <c r="O36" s="280">
        <v>48600000</v>
      </c>
      <c r="P36" s="282"/>
      <c r="Q36" s="281"/>
      <c r="R36" s="238"/>
      <c r="S36" s="279"/>
    </row>
    <row r="37" spans="1:19">
      <c r="A37" s="293" t="s">
        <v>287</v>
      </c>
      <c r="B37" s="250">
        <f>SUM(C37:R37)</f>
        <v>200000000</v>
      </c>
      <c r="C37" s="282"/>
      <c r="D37" s="280"/>
      <c r="E37" s="290"/>
      <c r="F37" s="289"/>
      <c r="G37" s="288"/>
      <c r="H37" s="287"/>
      <c r="I37" s="284"/>
      <c r="J37" s="286"/>
      <c r="K37" s="285"/>
      <c r="L37" s="284">
        <v>50000000</v>
      </c>
      <c r="M37" s="250">
        <f>L37</f>
        <v>50000000</v>
      </c>
      <c r="N37" s="283">
        <f>M37</f>
        <v>50000000</v>
      </c>
      <c r="O37" s="280">
        <f>N37</f>
        <v>50000000</v>
      </c>
      <c r="P37" s="282"/>
      <c r="Q37" s="281"/>
      <c r="R37" s="238"/>
      <c r="S37" s="279"/>
    </row>
    <row r="38" spans="1:19">
      <c r="A38" s="293" t="s">
        <v>286</v>
      </c>
      <c r="B38" s="250">
        <f>SUM(C38:R38)</f>
        <v>34860000</v>
      </c>
      <c r="C38" s="282"/>
      <c r="D38" s="280"/>
      <c r="E38" s="290"/>
      <c r="F38" s="289"/>
      <c r="G38" s="288"/>
      <c r="H38" s="287"/>
      <c r="I38" s="284"/>
      <c r="J38" s="286"/>
      <c r="K38" s="285"/>
      <c r="L38" s="284">
        <v>15000000</v>
      </c>
      <c r="M38" s="250">
        <v>8500000</v>
      </c>
      <c r="N38" s="283">
        <v>9800000</v>
      </c>
      <c r="O38" s="280">
        <v>1560000</v>
      </c>
      <c r="P38" s="282"/>
      <c r="Q38" s="281"/>
      <c r="R38" s="238"/>
      <c r="S38" s="279"/>
    </row>
    <row r="39" spans="1:19">
      <c r="A39" s="293" t="s">
        <v>285</v>
      </c>
      <c r="B39" s="250">
        <f>22000*24500</f>
        <v>539000000</v>
      </c>
      <c r="C39" s="282"/>
      <c r="D39" s="280"/>
      <c r="E39" s="290"/>
      <c r="F39" s="289"/>
      <c r="G39" s="288"/>
      <c r="H39" s="287"/>
      <c r="I39" s="284">
        <v>115000000</v>
      </c>
      <c r="J39" s="286">
        <f>I39</f>
        <v>115000000</v>
      </c>
      <c r="K39" s="285">
        <f>J39</f>
        <v>115000000</v>
      </c>
      <c r="L39" s="284">
        <v>48600000</v>
      </c>
      <c r="M39" s="250">
        <f>L39</f>
        <v>48600000</v>
      </c>
      <c r="N39" s="283">
        <f>M39</f>
        <v>48600000</v>
      </c>
      <c r="O39" s="280">
        <f>B39-I39-J39-K39-L39-M39-M39</f>
        <v>48200000</v>
      </c>
      <c r="P39" s="282"/>
      <c r="Q39" s="281"/>
      <c r="R39" s="238"/>
      <c r="S39" s="279"/>
    </row>
    <row r="40" spans="1:19">
      <c r="A40" s="293" t="s">
        <v>284</v>
      </c>
      <c r="B40" s="250">
        <f>4507*18500</f>
        <v>83379500</v>
      </c>
      <c r="C40" s="282"/>
      <c r="D40" s="280"/>
      <c r="E40" s="290"/>
      <c r="F40" s="289"/>
      <c r="G40" s="288"/>
      <c r="H40" s="287"/>
      <c r="I40" s="284">
        <v>18500000</v>
      </c>
      <c r="J40" s="286">
        <f>I40</f>
        <v>18500000</v>
      </c>
      <c r="K40" s="285">
        <f>J40</f>
        <v>18500000</v>
      </c>
      <c r="L40" s="284">
        <f>K40</f>
        <v>18500000</v>
      </c>
      <c r="M40" s="250">
        <v>6500000</v>
      </c>
      <c r="N40" s="283">
        <f>B40-I40-J40-K40-L4-L40-6500000</f>
        <v>2879500</v>
      </c>
      <c r="O40" s="280"/>
      <c r="P40" s="282"/>
      <c r="Q40" s="281"/>
      <c r="R40" s="238"/>
      <c r="S40" s="279"/>
    </row>
    <row r="41" spans="1:19">
      <c r="A41" s="293" t="s">
        <v>283</v>
      </c>
      <c r="B41" s="250">
        <v>399763800</v>
      </c>
      <c r="C41" s="282"/>
      <c r="D41" s="280"/>
      <c r="E41" s="290"/>
      <c r="F41" s="289"/>
      <c r="G41" s="288"/>
      <c r="H41" s="287"/>
      <c r="I41" s="284"/>
      <c r="J41" s="286"/>
      <c r="K41" s="285"/>
      <c r="L41" s="284">
        <v>98500000</v>
      </c>
      <c r="M41" s="250">
        <v>85600000</v>
      </c>
      <c r="N41" s="283">
        <v>68500000</v>
      </c>
      <c r="O41" s="280">
        <v>147163800</v>
      </c>
      <c r="P41" s="282"/>
      <c r="Q41" s="281"/>
      <c r="R41" s="238"/>
      <c r="S41" s="279"/>
    </row>
    <row r="42" spans="1:19">
      <c r="A42" s="293" t="s">
        <v>282</v>
      </c>
      <c r="B42" s="250">
        <v>245000000</v>
      </c>
      <c r="C42" s="282"/>
      <c r="D42" s="280"/>
      <c r="E42" s="290"/>
      <c r="F42" s="289"/>
      <c r="G42" s="288"/>
      <c r="H42" s="287"/>
      <c r="I42" s="284"/>
      <c r="J42" s="286"/>
      <c r="K42" s="285">
        <v>165200000</v>
      </c>
      <c r="L42" s="284">
        <v>60000000</v>
      </c>
      <c r="M42" s="250">
        <v>19800000</v>
      </c>
      <c r="N42" s="283"/>
      <c r="O42" s="280"/>
      <c r="P42" s="282"/>
      <c r="Q42" s="281"/>
      <c r="R42" s="238"/>
      <c r="S42" s="279"/>
    </row>
    <row r="43" spans="1:19">
      <c r="A43" s="293"/>
      <c r="B43" s="250"/>
      <c r="C43" s="282"/>
      <c r="D43" s="280"/>
      <c r="E43" s="290"/>
      <c r="F43" s="289"/>
      <c r="G43" s="288"/>
      <c r="H43" s="287"/>
      <c r="I43" s="284"/>
      <c r="J43" s="286"/>
      <c r="K43" s="285"/>
      <c r="L43" s="284"/>
      <c r="M43" s="250"/>
      <c r="N43" s="283"/>
      <c r="O43" s="280"/>
      <c r="P43" s="282"/>
      <c r="Q43" s="281"/>
      <c r="R43" s="238"/>
      <c r="S43" s="279"/>
    </row>
    <row r="44" spans="1:19">
      <c r="A44" s="293"/>
      <c r="B44" s="250"/>
      <c r="C44" s="282"/>
      <c r="D44" s="280"/>
      <c r="E44" s="290"/>
      <c r="F44" s="289"/>
      <c r="G44" s="288"/>
      <c r="H44" s="287"/>
      <c r="I44" s="284"/>
      <c r="J44" s="286"/>
      <c r="K44" s="285"/>
      <c r="L44" s="284"/>
      <c r="M44" s="250"/>
      <c r="N44" s="283"/>
      <c r="O44" s="280"/>
      <c r="P44" s="282"/>
      <c r="Q44" s="281"/>
      <c r="R44" s="238"/>
      <c r="S44" s="279"/>
    </row>
    <row r="45" spans="1:19">
      <c r="A45" s="292"/>
      <c r="B45" s="291"/>
      <c r="C45" s="282"/>
      <c r="D45" s="280"/>
      <c r="E45" s="290"/>
      <c r="F45" s="289"/>
      <c r="G45" s="288"/>
      <c r="H45" s="287"/>
      <c r="I45" s="284"/>
      <c r="J45" s="286"/>
      <c r="K45" s="285"/>
      <c r="L45" s="284"/>
      <c r="M45" s="250"/>
      <c r="N45" s="283"/>
      <c r="O45" s="280"/>
      <c r="P45" s="282"/>
      <c r="Q45" s="281"/>
      <c r="R45" s="280"/>
      <c r="S45" s="279"/>
    </row>
    <row r="46" spans="1:19">
      <c r="A46" s="278" t="s">
        <v>226</v>
      </c>
      <c r="B46" s="277"/>
      <c r="C46" s="267"/>
      <c r="D46" s="265"/>
      <c r="E46" s="276"/>
      <c r="F46" s="275"/>
      <c r="G46" s="274"/>
      <c r="H46" s="273"/>
      <c r="I46" s="270"/>
      <c r="J46" s="272"/>
      <c r="K46" s="271"/>
      <c r="L46" s="270"/>
      <c r="M46" s="269"/>
      <c r="N46" s="268"/>
      <c r="O46" s="265"/>
      <c r="P46" s="267"/>
      <c r="Q46" s="266"/>
      <c r="R46" s="265"/>
      <c r="S46" s="264"/>
    </row>
    <row r="47" spans="1:19">
      <c r="A47" s="263">
        <f>C47+D47+E47+F47+G47+H47+I47+J47+K47+L47+M47+N47+O47+P47+Q47+R47</f>
        <v>8042210270</v>
      </c>
      <c r="B47" s="263">
        <f>SUM(C47:X47)</f>
        <v>8042210270</v>
      </c>
      <c r="C47" s="262">
        <f>SUM(C5:C46)</f>
        <v>241744000</v>
      </c>
      <c r="D47" s="262">
        <f>SUM(D5:D46)</f>
        <v>210716200</v>
      </c>
      <c r="E47" s="262">
        <f>SUM(E5:E46)</f>
        <v>180975000</v>
      </c>
      <c r="F47" s="262">
        <f>SUM(F5:F46)</f>
        <v>726419630</v>
      </c>
      <c r="G47" s="262">
        <f>SUM(G5:G46)</f>
        <v>653575600</v>
      </c>
      <c r="H47" s="262">
        <f t="shared" ref="H47:R47" si="4">SUM(H3:H46)</f>
        <v>1001514540</v>
      </c>
      <c r="I47" s="262">
        <f t="shared" si="4"/>
        <v>1159025000</v>
      </c>
      <c r="J47" s="262">
        <f t="shared" si="4"/>
        <v>1114445000</v>
      </c>
      <c r="K47" s="262">
        <f t="shared" si="4"/>
        <v>998297000</v>
      </c>
      <c r="L47" s="262">
        <f t="shared" si="4"/>
        <v>496325000</v>
      </c>
      <c r="M47" s="262">
        <f t="shared" si="4"/>
        <v>431845000</v>
      </c>
      <c r="N47" s="262">
        <f t="shared" si="4"/>
        <v>374404500</v>
      </c>
      <c r="O47" s="262">
        <f t="shared" si="4"/>
        <v>362998800</v>
      </c>
      <c r="P47" s="262">
        <f t="shared" si="4"/>
        <v>29975000</v>
      </c>
      <c r="Q47" s="262">
        <f t="shared" si="4"/>
        <v>29975000</v>
      </c>
      <c r="R47" s="262">
        <f t="shared" si="4"/>
        <v>29975000</v>
      </c>
      <c r="S47" s="261"/>
    </row>
    <row r="48" spans="1:19">
      <c r="A48" s="234"/>
      <c r="B48" s="260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</row>
    <row r="49" spans="1:23"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</row>
    <row r="50" spans="1:23">
      <c r="A50" s="251" t="s">
        <v>278</v>
      </c>
      <c r="B50" s="250" t="s">
        <v>277</v>
      </c>
      <c r="C50" s="240">
        <v>45658</v>
      </c>
      <c r="D50" s="238">
        <v>45689</v>
      </c>
      <c r="E50" s="249">
        <v>45717</v>
      </c>
      <c r="F50" s="248">
        <v>45748</v>
      </c>
      <c r="G50" s="247">
        <v>45778</v>
      </c>
      <c r="H50" s="246">
        <v>45809</v>
      </c>
      <c r="I50" s="243">
        <v>45839</v>
      </c>
      <c r="J50" s="245">
        <v>45870</v>
      </c>
      <c r="K50" s="244">
        <v>45901</v>
      </c>
      <c r="L50" s="243">
        <v>45931</v>
      </c>
      <c r="M50" s="242">
        <v>45962</v>
      </c>
      <c r="N50" s="241">
        <v>45992</v>
      </c>
      <c r="O50" s="238">
        <v>46023</v>
      </c>
      <c r="P50" s="240">
        <v>46054</v>
      </c>
      <c r="Q50" s="239">
        <v>46082</v>
      </c>
      <c r="R50" s="238">
        <v>46113</v>
      </c>
      <c r="S50" s="238">
        <v>46143</v>
      </c>
      <c r="T50" s="257"/>
    </row>
    <row r="51" spans="1:23">
      <c r="A51" s="237" t="s">
        <v>281</v>
      </c>
      <c r="B51" s="235">
        <f>SUM(C51:S51)</f>
        <v>127600000</v>
      </c>
      <c r="C51" s="235"/>
      <c r="D51" s="235">
        <v>1100000</v>
      </c>
      <c r="E51" s="235">
        <f>1000000+15000000+1600000</f>
        <v>17600000</v>
      </c>
      <c r="F51" s="235">
        <v>1100000</v>
      </c>
      <c r="G51" s="235">
        <v>1100000</v>
      </c>
      <c r="H51" s="235">
        <f>20000000+1000000+2100000</f>
        <v>23100000</v>
      </c>
      <c r="I51" s="235">
        <v>1100000</v>
      </c>
      <c r="J51" s="235">
        <v>1100000</v>
      </c>
      <c r="K51" s="235">
        <f>30000000+1000000+3100000</f>
        <v>34100000</v>
      </c>
      <c r="L51" s="235">
        <v>1100000</v>
      </c>
      <c r="M51" s="235">
        <v>1100000</v>
      </c>
      <c r="N51" s="235">
        <f>16000000+1600000</f>
        <v>17600000</v>
      </c>
      <c r="O51" s="235">
        <v>1100000</v>
      </c>
      <c r="P51" s="235">
        <v>1100000</v>
      </c>
      <c r="Q51" s="235">
        <f>21000000+2100000</f>
        <v>23100000</v>
      </c>
      <c r="R51" s="235">
        <f>O51</f>
        <v>1100000</v>
      </c>
      <c r="S51" s="235">
        <f>R51</f>
        <v>1100000</v>
      </c>
      <c r="T51" s="254"/>
    </row>
    <row r="52" spans="1:23">
      <c r="A52" s="237" t="s">
        <v>280</v>
      </c>
      <c r="B52" s="235">
        <f>SUM(C52:S52)</f>
        <v>291578400</v>
      </c>
      <c r="C52" s="235"/>
      <c r="D52" s="235"/>
      <c r="E52" s="235">
        <f t="shared" ref="E52:S52" si="5">9319064+621271+9498225</f>
        <v>19438560</v>
      </c>
      <c r="F52" s="235">
        <f t="shared" si="5"/>
        <v>19438560</v>
      </c>
      <c r="G52" s="235">
        <f t="shared" si="5"/>
        <v>19438560</v>
      </c>
      <c r="H52" s="235">
        <f t="shared" si="5"/>
        <v>19438560</v>
      </c>
      <c r="I52" s="235">
        <f t="shared" si="5"/>
        <v>19438560</v>
      </c>
      <c r="J52" s="235">
        <f t="shared" si="5"/>
        <v>19438560</v>
      </c>
      <c r="K52" s="235">
        <f t="shared" si="5"/>
        <v>19438560</v>
      </c>
      <c r="L52" s="235">
        <f t="shared" si="5"/>
        <v>19438560</v>
      </c>
      <c r="M52" s="235">
        <f t="shared" si="5"/>
        <v>19438560</v>
      </c>
      <c r="N52" s="235">
        <f t="shared" si="5"/>
        <v>19438560</v>
      </c>
      <c r="O52" s="235">
        <f t="shared" si="5"/>
        <v>19438560</v>
      </c>
      <c r="P52" s="235">
        <f t="shared" si="5"/>
        <v>19438560</v>
      </c>
      <c r="Q52" s="235">
        <f t="shared" si="5"/>
        <v>19438560</v>
      </c>
      <c r="R52" s="235">
        <f t="shared" si="5"/>
        <v>19438560</v>
      </c>
      <c r="S52" s="235">
        <f t="shared" si="5"/>
        <v>19438560</v>
      </c>
      <c r="T52" s="254"/>
    </row>
    <row r="53" spans="1:23">
      <c r="A53" s="253" t="s">
        <v>1</v>
      </c>
      <c r="B53" s="252">
        <f>SUM(B51:B52)</f>
        <v>419178400</v>
      </c>
      <c r="C53" s="259"/>
      <c r="D53" s="258">
        <f t="shared" ref="D53:S53" si="6">SUM(D51:D52)</f>
        <v>1100000</v>
      </c>
      <c r="E53" s="258">
        <f t="shared" si="6"/>
        <v>37038560</v>
      </c>
      <c r="F53" s="258">
        <f t="shared" si="6"/>
        <v>20538560</v>
      </c>
      <c r="G53" s="258">
        <f t="shared" si="6"/>
        <v>20538560</v>
      </c>
      <c r="H53" s="258">
        <f t="shared" si="6"/>
        <v>42538560</v>
      </c>
      <c r="I53" s="258">
        <f t="shared" si="6"/>
        <v>20538560</v>
      </c>
      <c r="J53" s="258">
        <f t="shared" si="6"/>
        <v>20538560</v>
      </c>
      <c r="K53" s="258">
        <f t="shared" si="6"/>
        <v>53538560</v>
      </c>
      <c r="L53" s="258">
        <f t="shared" si="6"/>
        <v>20538560</v>
      </c>
      <c r="M53" s="258">
        <f t="shared" si="6"/>
        <v>20538560</v>
      </c>
      <c r="N53" s="258">
        <f t="shared" si="6"/>
        <v>37038560</v>
      </c>
      <c r="O53" s="258">
        <f t="shared" si="6"/>
        <v>20538560</v>
      </c>
      <c r="P53" s="258">
        <f t="shared" si="6"/>
        <v>20538560</v>
      </c>
      <c r="Q53" s="258">
        <f t="shared" si="6"/>
        <v>42538560</v>
      </c>
      <c r="R53" s="258">
        <f t="shared" si="6"/>
        <v>20538560</v>
      </c>
      <c r="S53" s="258">
        <f t="shared" si="6"/>
        <v>20538560</v>
      </c>
      <c r="T53" s="254"/>
    </row>
    <row r="54" spans="1:23">
      <c r="T54" s="254"/>
    </row>
    <row r="55" spans="1:23">
      <c r="A55" s="251" t="s">
        <v>278</v>
      </c>
      <c r="B55" s="250" t="s">
        <v>277</v>
      </c>
      <c r="C55" s="240">
        <v>45658</v>
      </c>
      <c r="D55" s="238">
        <v>45689</v>
      </c>
      <c r="E55" s="249">
        <v>45717</v>
      </c>
      <c r="F55" s="248">
        <v>45748</v>
      </c>
      <c r="G55" s="247">
        <v>45778</v>
      </c>
      <c r="H55" s="246">
        <v>45809</v>
      </c>
      <c r="I55" s="243">
        <v>45839</v>
      </c>
      <c r="J55" s="245">
        <v>45870</v>
      </c>
      <c r="K55" s="244">
        <v>45901</v>
      </c>
      <c r="L55" s="243">
        <v>45931</v>
      </c>
      <c r="M55" s="242">
        <v>45962</v>
      </c>
      <c r="N55" s="241">
        <v>45992</v>
      </c>
      <c r="O55" s="238">
        <v>46023</v>
      </c>
      <c r="P55" s="240">
        <v>46054</v>
      </c>
      <c r="Q55" s="239">
        <v>46082</v>
      </c>
      <c r="R55" s="238">
        <v>46113</v>
      </c>
      <c r="S55" s="238">
        <v>46143</v>
      </c>
      <c r="T55" s="257"/>
    </row>
    <row r="56" spans="1:23">
      <c r="A56" s="256" t="s">
        <v>279</v>
      </c>
      <c r="B56" s="255">
        <f>B53+B47</f>
        <v>8461388670</v>
      </c>
      <c r="C56" s="235">
        <f t="shared" ref="C56:S56" si="7">C47+C53</f>
        <v>241744000</v>
      </c>
      <c r="D56" s="235">
        <f t="shared" si="7"/>
        <v>211816200</v>
      </c>
      <c r="E56" s="235">
        <f t="shared" si="7"/>
        <v>218013560</v>
      </c>
      <c r="F56" s="235">
        <f t="shared" si="7"/>
        <v>746958190</v>
      </c>
      <c r="G56" s="235">
        <f t="shared" si="7"/>
        <v>674114160</v>
      </c>
      <c r="H56" s="235">
        <f t="shared" si="7"/>
        <v>1044053100</v>
      </c>
      <c r="I56" s="235">
        <f t="shared" si="7"/>
        <v>1179563560</v>
      </c>
      <c r="J56" s="235">
        <f t="shared" si="7"/>
        <v>1134983560</v>
      </c>
      <c r="K56" s="235">
        <f t="shared" si="7"/>
        <v>1051835560</v>
      </c>
      <c r="L56" s="235">
        <f t="shared" si="7"/>
        <v>516863560</v>
      </c>
      <c r="M56" s="235">
        <f t="shared" si="7"/>
        <v>452383560</v>
      </c>
      <c r="N56" s="235">
        <f t="shared" si="7"/>
        <v>411443060</v>
      </c>
      <c r="O56" s="235">
        <f t="shared" si="7"/>
        <v>383537360</v>
      </c>
      <c r="P56" s="235">
        <f t="shared" si="7"/>
        <v>50513560</v>
      </c>
      <c r="Q56" s="235">
        <f t="shared" si="7"/>
        <v>72513560</v>
      </c>
      <c r="R56" s="235">
        <f t="shared" si="7"/>
        <v>50513560</v>
      </c>
      <c r="S56" s="235">
        <f t="shared" si="7"/>
        <v>20538560</v>
      </c>
      <c r="T56" s="254"/>
    </row>
    <row r="57" spans="1:23">
      <c r="A57" s="253"/>
      <c r="B57" s="252"/>
    </row>
    <row r="58" spans="1:23">
      <c r="A58" s="251" t="s">
        <v>278</v>
      </c>
      <c r="B58" s="250" t="s">
        <v>277</v>
      </c>
      <c r="C58" s="240">
        <v>45658</v>
      </c>
      <c r="D58" s="238">
        <v>45689</v>
      </c>
      <c r="E58" s="249">
        <v>45717</v>
      </c>
      <c r="F58" s="248">
        <v>45748</v>
      </c>
      <c r="G58" s="247">
        <v>45778</v>
      </c>
      <c r="H58" s="246">
        <v>45809</v>
      </c>
      <c r="I58" s="243">
        <v>45839</v>
      </c>
      <c r="J58" s="245">
        <v>45870</v>
      </c>
      <c r="K58" s="244">
        <v>45901</v>
      </c>
      <c r="L58" s="243">
        <v>45931</v>
      </c>
      <c r="M58" s="242">
        <v>45962</v>
      </c>
      <c r="N58" s="241">
        <v>45992</v>
      </c>
      <c r="O58" s="238">
        <v>46023</v>
      </c>
      <c r="P58" s="240">
        <v>46054</v>
      </c>
      <c r="Q58" s="239">
        <v>46082</v>
      </c>
      <c r="R58" s="238">
        <v>46113</v>
      </c>
      <c r="S58" s="238">
        <v>46143</v>
      </c>
      <c r="T58" s="238">
        <v>46174</v>
      </c>
      <c r="U58" s="238">
        <v>46204</v>
      </c>
      <c r="V58" s="238">
        <v>46235</v>
      </c>
      <c r="W58" s="238">
        <v>46266</v>
      </c>
    </row>
    <row r="59" spans="1:23">
      <c r="A59" s="237" t="s">
        <v>276</v>
      </c>
      <c r="B59" s="235">
        <f>SUM(C59:X59)</f>
        <v>29543598000</v>
      </c>
      <c r="C59" s="235"/>
      <c r="D59" s="235"/>
      <c r="E59" s="235"/>
      <c r="F59" s="235"/>
      <c r="G59" s="235"/>
      <c r="H59" s="235">
        <v>700000000</v>
      </c>
      <c r="I59" s="235">
        <v>700000000</v>
      </c>
      <c r="J59" s="235">
        <v>1200000000</v>
      </c>
      <c r="K59" s="235">
        <v>1800000000</v>
      </c>
      <c r="L59" s="235">
        <v>1800000000</v>
      </c>
      <c r="M59" s="235">
        <v>1800000000</v>
      </c>
      <c r="N59" s="235">
        <v>900000000</v>
      </c>
      <c r="O59" s="235">
        <v>900000000</v>
      </c>
      <c r="P59" s="235">
        <v>900000000</v>
      </c>
      <c r="Q59" s="235">
        <v>3500000000</v>
      </c>
      <c r="R59" s="235">
        <v>3500000000</v>
      </c>
      <c r="S59" s="235">
        <v>3500000000</v>
      </c>
      <c r="T59" s="236">
        <v>2200000000</v>
      </c>
      <c r="U59" s="236">
        <v>2200000000</v>
      </c>
      <c r="V59" s="236">
        <v>1971799000</v>
      </c>
      <c r="W59" s="236">
        <v>1971799000</v>
      </c>
    </row>
    <row r="60" spans="1:23">
      <c r="B60" s="150"/>
    </row>
    <row r="61" spans="1:23">
      <c r="B61" s="235">
        <f>SUM(C61:X61)</f>
        <v>14000000000</v>
      </c>
      <c r="C61" s="234">
        <v>2500000000</v>
      </c>
      <c r="D61" s="234"/>
      <c r="N61" s="234">
        <v>11500000000</v>
      </c>
    </row>
    <row r="62" spans="1:23">
      <c r="B62" s="150"/>
    </row>
    <row r="63" spans="1:23">
      <c r="A63" s="232" t="s">
        <v>275</v>
      </c>
      <c r="C63" s="231">
        <f t="shared" ref="C63:W63" si="8">C59-C56-C61</f>
        <v>-2741744000</v>
      </c>
      <c r="D63" s="231">
        <f t="shared" si="8"/>
        <v>-211816200</v>
      </c>
      <c r="E63" s="231">
        <f t="shared" si="8"/>
        <v>-218013560</v>
      </c>
      <c r="F63" s="231">
        <f t="shared" si="8"/>
        <v>-746958190</v>
      </c>
      <c r="G63" s="231">
        <f t="shared" si="8"/>
        <v>-674114160</v>
      </c>
      <c r="H63" s="231">
        <f t="shared" si="8"/>
        <v>-344053100</v>
      </c>
      <c r="I63" s="231">
        <f t="shared" si="8"/>
        <v>-479563560</v>
      </c>
      <c r="J63" s="231">
        <f t="shared" si="8"/>
        <v>65016440</v>
      </c>
      <c r="K63" s="231">
        <f t="shared" si="8"/>
        <v>748164440</v>
      </c>
      <c r="L63" s="231">
        <f t="shared" si="8"/>
        <v>1283136440</v>
      </c>
      <c r="M63" s="231">
        <f t="shared" si="8"/>
        <v>1347616440</v>
      </c>
      <c r="N63" s="231">
        <f t="shared" si="8"/>
        <v>-11011443060</v>
      </c>
      <c r="O63" s="231">
        <f t="shared" si="8"/>
        <v>516462640</v>
      </c>
      <c r="P63" s="231">
        <f t="shared" si="8"/>
        <v>849486440</v>
      </c>
      <c r="Q63" s="231">
        <f t="shared" si="8"/>
        <v>3427486440</v>
      </c>
      <c r="R63" s="231">
        <f t="shared" si="8"/>
        <v>3449486440</v>
      </c>
      <c r="S63" s="231">
        <f t="shared" si="8"/>
        <v>3479461440</v>
      </c>
      <c r="T63" s="231">
        <f t="shared" si="8"/>
        <v>2200000000</v>
      </c>
      <c r="U63" s="231">
        <f t="shared" si="8"/>
        <v>2200000000</v>
      </c>
      <c r="V63" s="231">
        <f t="shared" si="8"/>
        <v>1971799000</v>
      </c>
      <c r="W63" s="231">
        <f t="shared" si="8"/>
        <v>1971799000</v>
      </c>
    </row>
    <row r="64" spans="1:23">
      <c r="A64" s="232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</row>
    <row r="65" spans="1:23">
      <c r="A65" s="232" t="s">
        <v>274</v>
      </c>
      <c r="C65" s="231">
        <f>C63</f>
        <v>-2741744000</v>
      </c>
      <c r="D65" s="231">
        <f t="shared" ref="D65:W65" si="9">SUM(C65,D63)</f>
        <v>-2953560200</v>
      </c>
      <c r="E65" s="231">
        <f t="shared" si="9"/>
        <v>-3171573760</v>
      </c>
      <c r="F65" s="231">
        <f t="shared" si="9"/>
        <v>-3918531950</v>
      </c>
      <c r="G65" s="231">
        <f t="shared" si="9"/>
        <v>-4592646110</v>
      </c>
      <c r="H65" s="231">
        <f t="shared" si="9"/>
        <v>-4936699210</v>
      </c>
      <c r="I65" s="231">
        <f t="shared" si="9"/>
        <v>-5416262770</v>
      </c>
      <c r="J65" s="231">
        <f t="shared" si="9"/>
        <v>-5351246330</v>
      </c>
      <c r="K65" s="231">
        <f t="shared" si="9"/>
        <v>-4603081890</v>
      </c>
      <c r="L65" s="231">
        <f t="shared" si="9"/>
        <v>-3319945450</v>
      </c>
      <c r="M65" s="231">
        <f t="shared" si="9"/>
        <v>-1972329010</v>
      </c>
      <c r="N65" s="231">
        <f t="shared" si="9"/>
        <v>-12983772070</v>
      </c>
      <c r="O65" s="231">
        <f t="shared" si="9"/>
        <v>-12467309430</v>
      </c>
      <c r="P65" s="231">
        <f t="shared" si="9"/>
        <v>-11617822990</v>
      </c>
      <c r="Q65" s="231">
        <f t="shared" si="9"/>
        <v>-8190336550</v>
      </c>
      <c r="R65" s="231">
        <f t="shared" si="9"/>
        <v>-4740850110</v>
      </c>
      <c r="S65" s="231">
        <f t="shared" si="9"/>
        <v>-1261388670</v>
      </c>
      <c r="T65" s="231">
        <f t="shared" si="9"/>
        <v>938611330</v>
      </c>
      <c r="U65" s="231">
        <f t="shared" si="9"/>
        <v>3138611330</v>
      </c>
      <c r="V65" s="231">
        <f t="shared" si="9"/>
        <v>5110410330</v>
      </c>
      <c r="W65" s="231">
        <f t="shared" si="9"/>
        <v>7082209330</v>
      </c>
    </row>
    <row r="68" spans="1:23">
      <c r="A68" s="233" t="s">
        <v>342</v>
      </c>
    </row>
    <row r="69" spans="1:23">
      <c r="A69" s="232" t="s">
        <v>275</v>
      </c>
      <c r="C69" s="231">
        <f>C63+БЦ!C35</f>
        <v>-2777744000</v>
      </c>
      <c r="D69" s="231">
        <f>D63+БЦ!D35</f>
        <v>-226816200</v>
      </c>
      <c r="E69" s="231">
        <f>E63+БЦ!E35</f>
        <v>-223013560</v>
      </c>
      <c r="F69" s="231">
        <f>F63+БЦ!F35</f>
        <v>-764958190</v>
      </c>
      <c r="G69" s="231">
        <f>G63+БЦ!G35</f>
        <v>-674114160</v>
      </c>
      <c r="H69" s="231">
        <f>H63+БЦ!H35</f>
        <v>-827654000</v>
      </c>
      <c r="I69" s="231">
        <f>I63+БЦ!I35</f>
        <v>-112383560</v>
      </c>
      <c r="J69" s="231">
        <f>J63+БЦ!J35</f>
        <v>716196440</v>
      </c>
      <c r="K69" s="231">
        <f>K63+БЦ!K35</f>
        <v>1195416440</v>
      </c>
      <c r="L69" s="231">
        <f>L63+БЦ!L35</f>
        <v>1830388440</v>
      </c>
      <c r="M69" s="231">
        <f>M63+БЦ!M35</f>
        <v>1794868440</v>
      </c>
      <c r="N69" s="231">
        <f>N63+БЦ!N35</f>
        <v>-10793263060</v>
      </c>
      <c r="O69" s="231">
        <f>O63+БЦ!O35</f>
        <v>961642640</v>
      </c>
      <c r="P69" s="231">
        <f>P63+БЦ!P35</f>
        <v>1242666440</v>
      </c>
      <c r="Q69" s="231">
        <f>Q63+БЦ!Q35</f>
        <v>3585666440</v>
      </c>
      <c r="R69" s="231">
        <f>R63+БЦ!R35</f>
        <v>3627666440</v>
      </c>
      <c r="S69" s="231">
        <f>S63+БЦ!S35</f>
        <v>3952641440</v>
      </c>
      <c r="T69" s="231">
        <f>T63+БЦ!T35</f>
        <v>2200000000</v>
      </c>
      <c r="U69" s="231">
        <f>U63+БЦ!U35</f>
        <v>2200000000</v>
      </c>
      <c r="V69" s="231">
        <f>V63+БЦ!V35</f>
        <v>1971799000</v>
      </c>
      <c r="W69" s="231">
        <f>W63+БЦ!W35</f>
        <v>1971799000</v>
      </c>
    </row>
    <row r="70" spans="1:23">
      <c r="A70" s="232"/>
    </row>
    <row r="71" spans="1:23">
      <c r="A71" s="232" t="s">
        <v>274</v>
      </c>
      <c r="C71" s="231">
        <f>C69</f>
        <v>-2777744000</v>
      </c>
      <c r="D71" s="231">
        <f>SUM(C71,D69)</f>
        <v>-3004560200</v>
      </c>
      <c r="E71" s="231">
        <f t="shared" ref="E71:W71" si="10">SUM(D71,E69)</f>
        <v>-3227573760</v>
      </c>
      <c r="F71" s="231">
        <f t="shared" si="10"/>
        <v>-3992531950</v>
      </c>
      <c r="G71" s="231">
        <f t="shared" si="10"/>
        <v>-4666646110</v>
      </c>
      <c r="H71" s="231">
        <f t="shared" si="10"/>
        <v>-5494300110</v>
      </c>
      <c r="I71" s="231">
        <f t="shared" si="10"/>
        <v>-5606683670</v>
      </c>
      <c r="J71" s="231">
        <f t="shared" si="10"/>
        <v>-4890487230</v>
      </c>
      <c r="K71" s="231">
        <f t="shared" si="10"/>
        <v>-3695070790</v>
      </c>
      <c r="L71" s="231">
        <f t="shared" si="10"/>
        <v>-1864682350</v>
      </c>
      <c r="M71" s="231">
        <f t="shared" si="10"/>
        <v>-69813910</v>
      </c>
      <c r="N71" s="231">
        <f t="shared" si="10"/>
        <v>-10863076970</v>
      </c>
      <c r="O71" s="231">
        <f t="shared" si="10"/>
        <v>-9901434330</v>
      </c>
      <c r="P71" s="231">
        <f t="shared" si="10"/>
        <v>-8658767890</v>
      </c>
      <c r="Q71" s="231">
        <f t="shared" si="10"/>
        <v>-5073101450</v>
      </c>
      <c r="R71" s="231">
        <f t="shared" si="10"/>
        <v>-1445435010</v>
      </c>
      <c r="S71" s="231">
        <f t="shared" si="10"/>
        <v>2507206430</v>
      </c>
      <c r="T71" s="231">
        <f t="shared" si="10"/>
        <v>4707206430</v>
      </c>
      <c r="U71" s="231">
        <f t="shared" si="10"/>
        <v>6907206430</v>
      </c>
      <c r="V71" s="231">
        <f t="shared" si="10"/>
        <v>8879005430</v>
      </c>
      <c r="W71" s="231">
        <f t="shared" si="10"/>
        <v>10850804430</v>
      </c>
    </row>
    <row r="73" spans="1:23">
      <c r="W73" s="176">
        <f>'Факт МЖК '!F90+'Факт МЖК '!F91+БЦ!F58+БЦ!F60</f>
        <v>6366213362.8571453</v>
      </c>
    </row>
    <row r="74" spans="1:23">
      <c r="W74" s="233"/>
    </row>
    <row r="75" spans="1:23">
      <c r="W75" s="176">
        <f>W71-W73</f>
        <v>4484591067.1428547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62"/>
  <sheetViews>
    <sheetView tabSelected="1" zoomScale="90" zoomScaleNormal="9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C41" sqref="C41"/>
    </sheetView>
  </sheetViews>
  <sheetFormatPr defaultColWidth="8" defaultRowHeight="15.75"/>
  <cols>
    <col min="1" max="1" width="47.125" style="150" customWidth="1"/>
    <col min="2" max="2" width="17.625" style="230" bestFit="1" customWidth="1"/>
    <col min="3" max="3" width="18.5" style="150" customWidth="1"/>
    <col min="4" max="4" width="15.75" style="313" customWidth="1"/>
    <col min="5" max="5" width="17.625" style="150" customWidth="1"/>
    <col min="6" max="6" width="16" style="150" customWidth="1"/>
    <col min="7" max="7" width="12.875" style="150" customWidth="1"/>
    <col min="8" max="8" width="14.875" style="150" customWidth="1"/>
    <col min="9" max="9" width="15.625" style="150" customWidth="1"/>
    <col min="10" max="10" width="13.25" style="150" customWidth="1"/>
    <col min="11" max="11" width="12.625" style="150" customWidth="1"/>
    <col min="12" max="12" width="13.625" style="150" customWidth="1"/>
    <col min="13" max="20" width="14" style="150" bestFit="1" customWidth="1"/>
    <col min="21" max="21" width="19.5" style="151" customWidth="1"/>
    <col min="22" max="16384" width="8" style="150"/>
  </cols>
  <sheetData>
    <row r="2" spans="1:21" ht="29.25" customHeight="1">
      <c r="A2" s="294" t="s">
        <v>278</v>
      </c>
      <c r="B2" s="298" t="s">
        <v>277</v>
      </c>
      <c r="C2" s="303">
        <v>45658</v>
      </c>
      <c r="D2" s="301">
        <v>45689</v>
      </c>
      <c r="E2" s="312">
        <v>45717</v>
      </c>
      <c r="F2" s="311">
        <v>45748</v>
      </c>
      <c r="G2" s="310">
        <v>45778</v>
      </c>
      <c r="H2" s="309">
        <v>45809</v>
      </c>
      <c r="I2" s="306">
        <v>45839</v>
      </c>
      <c r="J2" s="308">
        <v>45870</v>
      </c>
      <c r="K2" s="307">
        <v>45901</v>
      </c>
      <c r="L2" s="306">
        <v>45931</v>
      </c>
      <c r="M2" s="305">
        <v>45962</v>
      </c>
      <c r="N2" s="304">
        <v>45992</v>
      </c>
      <c r="O2" s="301">
        <v>46023</v>
      </c>
      <c r="P2" s="303">
        <v>46054</v>
      </c>
      <c r="Q2" s="302">
        <v>46082</v>
      </c>
      <c r="R2" s="301">
        <v>46113</v>
      </c>
      <c r="S2" s="301">
        <v>46143</v>
      </c>
      <c r="T2" s="301">
        <v>46174</v>
      </c>
      <c r="U2" s="300" t="s">
        <v>314</v>
      </c>
    </row>
    <row r="3" spans="1:21">
      <c r="A3" s="299" t="s">
        <v>331</v>
      </c>
      <c r="B3" s="298"/>
      <c r="C3" s="240"/>
      <c r="D3" s="238"/>
      <c r="E3" s="249"/>
      <c r="F3" s="248"/>
      <c r="G3" s="247"/>
      <c r="H3" s="246"/>
      <c r="I3" s="243"/>
      <c r="J3" s="245"/>
      <c r="K3" s="244"/>
      <c r="L3" s="243"/>
      <c r="M3" s="242"/>
      <c r="N3" s="241"/>
      <c r="O3" s="238"/>
      <c r="P3" s="240"/>
      <c r="Q3" s="239"/>
      <c r="R3" s="238"/>
      <c r="S3" s="238"/>
      <c r="T3" s="238"/>
      <c r="U3" s="279"/>
    </row>
    <row r="4" spans="1:21">
      <c r="A4" s="294" t="s">
        <v>312</v>
      </c>
      <c r="B4" s="298"/>
      <c r="C4" s="240"/>
      <c r="D4" s="238"/>
      <c r="E4" s="249"/>
      <c r="F4" s="248"/>
      <c r="G4" s="247"/>
      <c r="H4" s="246"/>
      <c r="I4" s="243"/>
      <c r="J4" s="245"/>
      <c r="K4" s="244"/>
      <c r="L4" s="243"/>
      <c r="M4" s="242"/>
      <c r="N4" s="241"/>
      <c r="O4" s="238"/>
      <c r="P4" s="240"/>
      <c r="Q4" s="239"/>
      <c r="R4" s="238"/>
      <c r="S4" s="238"/>
      <c r="T4" s="238"/>
      <c r="U4" s="279"/>
    </row>
    <row r="5" spans="1:21">
      <c r="A5" s="292" t="s">
        <v>212</v>
      </c>
      <c r="B5" s="291">
        <f>SUM(C5:R5)</f>
        <v>40000000</v>
      </c>
      <c r="C5" s="282">
        <v>16000000</v>
      </c>
      <c r="D5" s="280">
        <v>10000000</v>
      </c>
      <c r="E5" s="290">
        <v>5000000</v>
      </c>
      <c r="F5" s="289">
        <v>9000000</v>
      </c>
      <c r="G5" s="288"/>
      <c r="H5" s="287"/>
      <c r="I5" s="284"/>
      <c r="J5" s="286"/>
      <c r="K5" s="285"/>
      <c r="L5" s="284"/>
      <c r="M5" s="250"/>
      <c r="N5" s="283"/>
      <c r="O5" s="280"/>
      <c r="P5" s="282"/>
      <c r="Q5" s="281"/>
      <c r="R5" s="238"/>
      <c r="S5" s="238"/>
      <c r="T5" s="238"/>
      <c r="U5" s="279"/>
    </row>
    <row r="6" spans="1:21">
      <c r="A6" s="292" t="s">
        <v>330</v>
      </c>
      <c r="B6" s="291">
        <f>SUM(C6:R6)</f>
        <v>25000000</v>
      </c>
      <c r="C6" s="282">
        <v>20000000</v>
      </c>
      <c r="D6" s="280">
        <v>5000000</v>
      </c>
      <c r="E6" s="290"/>
      <c r="F6" s="289"/>
      <c r="G6" s="288"/>
      <c r="H6" s="287"/>
      <c r="I6" s="284"/>
      <c r="J6" s="286"/>
      <c r="K6" s="285"/>
      <c r="L6" s="284"/>
      <c r="M6" s="250"/>
      <c r="N6" s="283"/>
      <c r="O6" s="280"/>
      <c r="P6" s="282"/>
      <c r="Q6" s="281"/>
      <c r="R6" s="280"/>
      <c r="S6" s="280"/>
      <c r="T6" s="280"/>
      <c r="U6" s="279"/>
    </row>
    <row r="7" spans="1:21">
      <c r="A7" s="292" t="s">
        <v>213</v>
      </c>
      <c r="B7" s="291">
        <f>SUM(C7:R7)</f>
        <v>56000000</v>
      </c>
      <c r="C7" s="282"/>
      <c r="D7" s="280"/>
      <c r="E7" s="290"/>
      <c r="F7" s="289"/>
      <c r="G7" s="288"/>
      <c r="H7" s="287">
        <v>56000000</v>
      </c>
      <c r="I7" s="284"/>
      <c r="J7" s="286"/>
      <c r="K7" s="285"/>
      <c r="L7" s="284"/>
      <c r="M7" s="250"/>
      <c r="N7" s="283"/>
      <c r="O7" s="280"/>
      <c r="P7" s="282"/>
      <c r="Q7" s="281"/>
      <c r="R7" s="238"/>
      <c r="S7" s="238"/>
      <c r="T7" s="238"/>
      <c r="U7" s="279"/>
    </row>
    <row r="8" spans="1:21">
      <c r="A8" s="295" t="s">
        <v>329</v>
      </c>
      <c r="B8" s="291">
        <f>SUM(C8:R8)</f>
        <v>9000000</v>
      </c>
      <c r="C8" s="282"/>
      <c r="D8" s="280"/>
      <c r="E8" s="290"/>
      <c r="F8" s="289">
        <v>9000000</v>
      </c>
      <c r="G8" s="288"/>
      <c r="H8" s="287"/>
      <c r="I8" s="284"/>
      <c r="J8" s="286"/>
      <c r="K8" s="285"/>
      <c r="L8" s="284"/>
      <c r="M8" s="250"/>
      <c r="N8" s="283"/>
      <c r="O8" s="280"/>
      <c r="P8" s="282"/>
      <c r="Q8" s="281"/>
      <c r="R8" s="238"/>
      <c r="S8" s="238"/>
      <c r="T8" s="238"/>
      <c r="U8" s="279"/>
    </row>
    <row r="9" spans="1:21">
      <c r="A9" s="294" t="s">
        <v>308</v>
      </c>
      <c r="B9" s="291"/>
      <c r="C9" s="282"/>
      <c r="D9" s="280"/>
      <c r="E9" s="290"/>
      <c r="F9" s="289"/>
      <c r="G9" s="288"/>
      <c r="H9" s="287"/>
      <c r="I9" s="284"/>
      <c r="J9" s="286"/>
      <c r="K9" s="285"/>
      <c r="L9" s="284"/>
      <c r="M9" s="250"/>
      <c r="N9" s="283"/>
      <c r="O9" s="280"/>
      <c r="P9" s="282"/>
      <c r="Q9" s="281"/>
      <c r="R9" s="238"/>
      <c r="S9" s="238"/>
      <c r="T9" s="238"/>
      <c r="U9" s="279"/>
    </row>
    <row r="10" spans="1:21">
      <c r="A10" s="293" t="s">
        <v>307</v>
      </c>
      <c r="B10" s="291">
        <f>SUM(C10:R10)</f>
        <v>90000000</v>
      </c>
      <c r="C10" s="282"/>
      <c r="D10" s="280"/>
      <c r="E10" s="290"/>
      <c r="F10" s="289"/>
      <c r="G10" s="288"/>
      <c r="H10" s="287">
        <v>90000000</v>
      </c>
      <c r="I10" s="284"/>
      <c r="J10" s="286"/>
      <c r="K10" s="285"/>
      <c r="L10" s="284"/>
      <c r="M10" s="250"/>
      <c r="N10" s="283"/>
      <c r="O10" s="280"/>
      <c r="P10" s="282"/>
      <c r="Q10" s="281"/>
      <c r="R10" s="238"/>
      <c r="S10" s="238"/>
      <c r="T10" s="238"/>
      <c r="U10" s="279"/>
    </row>
    <row r="11" spans="1:21">
      <c r="A11" s="295" t="s">
        <v>328</v>
      </c>
      <c r="B11" s="291">
        <f>SUM(C11:R11)</f>
        <v>1848780900</v>
      </c>
      <c r="C11" s="282"/>
      <c r="D11" s="280"/>
      <c r="E11" s="290"/>
      <c r="F11" s="289"/>
      <c r="G11" s="288"/>
      <c r="H11" s="287">
        <v>1180780900</v>
      </c>
      <c r="I11" s="284">
        <v>476000000</v>
      </c>
      <c r="J11" s="286">
        <v>192000000</v>
      </c>
      <c r="K11" s="285"/>
      <c r="L11" s="284"/>
      <c r="M11" s="250"/>
      <c r="N11" s="283"/>
      <c r="O11" s="280"/>
      <c r="P11" s="282"/>
      <c r="Q11" s="281"/>
      <c r="R11" s="238"/>
      <c r="S11" s="238"/>
      <c r="T11" s="238"/>
      <c r="U11" s="279"/>
    </row>
    <row r="12" spans="1:21">
      <c r="A12" s="293" t="s">
        <v>327</v>
      </c>
      <c r="B12" s="291">
        <f>SUM(C12:R12)</f>
        <v>1087784000</v>
      </c>
      <c r="C12" s="282"/>
      <c r="D12" s="280"/>
      <c r="E12" s="290"/>
      <c r="F12" s="289"/>
      <c r="G12" s="288"/>
      <c r="H12" s="287"/>
      <c r="I12" s="284"/>
      <c r="J12" s="286"/>
      <c r="K12" s="285">
        <v>395928000</v>
      </c>
      <c r="L12" s="285">
        <v>295928000</v>
      </c>
      <c r="M12" s="285">
        <v>395928000</v>
      </c>
      <c r="N12" s="285"/>
      <c r="O12" s="285"/>
      <c r="P12" s="285"/>
      <c r="Q12" s="281"/>
      <c r="R12" s="238"/>
      <c r="S12" s="238"/>
      <c r="T12" s="238"/>
      <c r="U12" s="279"/>
    </row>
    <row r="13" spans="1:21">
      <c r="A13" s="293" t="s">
        <v>326</v>
      </c>
      <c r="B13" s="291">
        <f>SUM(C13:T13)</f>
        <v>1023000000</v>
      </c>
      <c r="C13" s="282"/>
      <c r="D13" s="280"/>
      <c r="E13" s="290"/>
      <c r="F13" s="289"/>
      <c r="G13" s="288"/>
      <c r="H13" s="287"/>
      <c r="I13" s="284"/>
      <c r="J13" s="286"/>
      <c r="K13" s="285"/>
      <c r="L13" s="284"/>
      <c r="M13" s="250"/>
      <c r="N13" s="283">
        <v>625000000</v>
      </c>
      <c r="O13" s="280">
        <v>398000000</v>
      </c>
      <c r="P13" s="282"/>
      <c r="Q13" s="281"/>
      <c r="R13" s="238"/>
      <c r="S13" s="238"/>
      <c r="T13" s="238"/>
      <c r="U13" s="279"/>
    </row>
    <row r="14" spans="1:21">
      <c r="A14" s="294" t="s">
        <v>301</v>
      </c>
      <c r="B14" s="291"/>
      <c r="C14" s="282"/>
      <c r="D14" s="280"/>
      <c r="E14" s="290"/>
      <c r="F14" s="289"/>
      <c r="G14" s="288"/>
      <c r="H14" s="287"/>
      <c r="I14" s="284"/>
      <c r="J14" s="286"/>
      <c r="K14" s="285"/>
      <c r="L14" s="284"/>
      <c r="M14" s="250"/>
      <c r="N14" s="283"/>
      <c r="O14" s="280"/>
      <c r="P14" s="282"/>
      <c r="Q14" s="281"/>
      <c r="R14" s="238"/>
      <c r="S14" s="238"/>
      <c r="T14" s="238"/>
      <c r="U14" s="279"/>
    </row>
    <row r="15" spans="1:21">
      <c r="A15" s="293" t="s">
        <v>325</v>
      </c>
      <c r="B15" s="291">
        <f>SUM(C15:R15)</f>
        <v>1280000000</v>
      </c>
      <c r="C15" s="282"/>
      <c r="D15" s="280"/>
      <c r="E15" s="290"/>
      <c r="F15" s="289"/>
      <c r="G15" s="288"/>
      <c r="H15" s="287"/>
      <c r="I15" s="284"/>
      <c r="J15" s="286"/>
      <c r="K15" s="285"/>
      <c r="L15" s="284"/>
      <c r="M15" s="250"/>
      <c r="N15" s="283"/>
      <c r="O15" s="280"/>
      <c r="P15" s="282">
        <v>450000000</v>
      </c>
      <c r="Q15" s="281">
        <v>685000000</v>
      </c>
      <c r="R15" s="280">
        <v>145000000</v>
      </c>
      <c r="S15" s="238"/>
      <c r="T15" s="238"/>
      <c r="U15" s="279"/>
    </row>
    <row r="16" spans="1:21">
      <c r="A16" s="293" t="s">
        <v>283</v>
      </c>
      <c r="B16" s="291">
        <f>SUM(C16:T16)</f>
        <v>920330700</v>
      </c>
      <c r="C16" s="282"/>
      <c r="D16" s="280"/>
      <c r="E16" s="290"/>
      <c r="F16" s="289"/>
      <c r="G16" s="288"/>
      <c r="H16" s="287"/>
      <c r="I16" s="284"/>
      <c r="J16" s="286"/>
      <c r="K16" s="285"/>
      <c r="L16" s="284"/>
      <c r="M16" s="250"/>
      <c r="N16" s="283"/>
      <c r="O16" s="280"/>
      <c r="P16" s="282"/>
      <c r="Q16" s="281"/>
      <c r="R16" s="280">
        <v>520000000</v>
      </c>
      <c r="S16" s="280">
        <v>370000000</v>
      </c>
      <c r="T16" s="280">
        <v>30330700</v>
      </c>
      <c r="U16" s="279"/>
    </row>
    <row r="17" spans="1:22">
      <c r="A17" s="293"/>
      <c r="B17" s="250"/>
      <c r="C17" s="282"/>
      <c r="D17" s="280"/>
      <c r="E17" s="290"/>
      <c r="F17" s="289"/>
      <c r="G17" s="288"/>
      <c r="H17" s="287"/>
      <c r="I17" s="284"/>
      <c r="J17" s="286"/>
      <c r="K17" s="285"/>
      <c r="L17" s="284"/>
      <c r="M17" s="250"/>
      <c r="N17" s="283"/>
      <c r="O17" s="280"/>
      <c r="P17" s="282"/>
      <c r="Q17" s="281"/>
      <c r="R17" s="238"/>
      <c r="S17" s="238"/>
      <c r="T17" s="238"/>
      <c r="U17" s="279"/>
    </row>
    <row r="18" spans="1:22">
      <c r="A18" s="293"/>
      <c r="B18" s="250"/>
      <c r="C18" s="282"/>
      <c r="D18" s="280"/>
      <c r="E18" s="290"/>
      <c r="F18" s="289"/>
      <c r="G18" s="288"/>
      <c r="H18" s="287"/>
      <c r="I18" s="284"/>
      <c r="J18" s="286"/>
      <c r="K18" s="285"/>
      <c r="L18" s="284"/>
      <c r="M18" s="250"/>
      <c r="N18" s="283"/>
      <c r="O18" s="280"/>
      <c r="P18" s="282"/>
      <c r="Q18" s="281"/>
      <c r="R18" s="238"/>
      <c r="S18" s="238"/>
      <c r="T18" s="238"/>
      <c r="U18" s="279"/>
    </row>
    <row r="19" spans="1:22">
      <c r="A19" s="292"/>
      <c r="B19" s="291"/>
      <c r="C19" s="282"/>
      <c r="D19" s="280"/>
      <c r="E19" s="290"/>
      <c r="F19" s="289"/>
      <c r="G19" s="288"/>
      <c r="H19" s="287"/>
      <c r="I19" s="284"/>
      <c r="J19" s="286"/>
      <c r="K19" s="285"/>
      <c r="L19" s="284"/>
      <c r="M19" s="250"/>
      <c r="N19" s="283"/>
      <c r="O19" s="280"/>
      <c r="P19" s="282"/>
      <c r="Q19" s="281"/>
      <c r="R19" s="280"/>
      <c r="S19" s="280"/>
      <c r="T19" s="280"/>
      <c r="U19" s="279"/>
    </row>
    <row r="20" spans="1:22">
      <c r="A20" s="278" t="s">
        <v>226</v>
      </c>
      <c r="B20" s="277"/>
      <c r="C20" s="267"/>
      <c r="D20" s="265"/>
      <c r="E20" s="276"/>
      <c r="F20" s="275"/>
      <c r="G20" s="274"/>
      <c r="H20" s="273"/>
      <c r="I20" s="270"/>
      <c r="J20" s="272"/>
      <c r="K20" s="271"/>
      <c r="L20" s="270"/>
      <c r="M20" s="269"/>
      <c r="N20" s="268"/>
      <c r="O20" s="265"/>
      <c r="P20" s="267"/>
      <c r="Q20" s="266"/>
      <c r="R20" s="265"/>
      <c r="S20" s="265"/>
      <c r="T20" s="265"/>
      <c r="U20" s="264"/>
    </row>
    <row r="21" spans="1:22">
      <c r="A21" s="263">
        <f>C21+D21+E21+F21+H21+I21+J21+K21+L21+M21+N21+O21+P21+Q21+R21+S21+T21</f>
        <v>6379895600</v>
      </c>
      <c r="B21" s="366"/>
      <c r="C21" s="262">
        <f>SUM(C5:C20)</f>
        <v>36000000</v>
      </c>
      <c r="D21" s="262">
        <f>SUM(D5:D20)</f>
        <v>15000000</v>
      </c>
      <c r="E21" s="262">
        <f>SUM(E5:E20)</f>
        <v>5000000</v>
      </c>
      <c r="F21" s="262">
        <f>SUM(F5:F20)</f>
        <v>18000000</v>
      </c>
      <c r="G21" s="262">
        <f>SUM(G5:G20)</f>
        <v>0</v>
      </c>
      <c r="H21" s="262">
        <f t="shared" ref="H21:T21" si="0">SUM(H3:H20)</f>
        <v>1326780900</v>
      </c>
      <c r="I21" s="262">
        <f t="shared" si="0"/>
        <v>476000000</v>
      </c>
      <c r="J21" s="262">
        <f t="shared" si="0"/>
        <v>192000000</v>
      </c>
      <c r="K21" s="262">
        <f t="shared" si="0"/>
        <v>395928000</v>
      </c>
      <c r="L21" s="262">
        <f t="shared" si="0"/>
        <v>295928000</v>
      </c>
      <c r="M21" s="262">
        <f t="shared" si="0"/>
        <v>395928000</v>
      </c>
      <c r="N21" s="262">
        <f t="shared" si="0"/>
        <v>625000000</v>
      </c>
      <c r="O21" s="262">
        <f t="shared" si="0"/>
        <v>398000000</v>
      </c>
      <c r="P21" s="262">
        <f t="shared" si="0"/>
        <v>450000000</v>
      </c>
      <c r="Q21" s="262">
        <f t="shared" si="0"/>
        <v>685000000</v>
      </c>
      <c r="R21" s="262">
        <f t="shared" si="0"/>
        <v>665000000</v>
      </c>
      <c r="S21" s="262">
        <f t="shared" si="0"/>
        <v>370000000</v>
      </c>
      <c r="T21" s="262">
        <f t="shared" si="0"/>
        <v>30330700</v>
      </c>
      <c r="U21" s="261"/>
    </row>
    <row r="22" spans="1:22" s="361" customFormat="1">
      <c r="A22" s="365"/>
      <c r="B22" s="364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2"/>
    </row>
    <row r="23" spans="1:22" s="361" customFormat="1">
      <c r="A23" s="230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151"/>
      <c r="S23" s="150"/>
      <c r="T23" s="363"/>
      <c r="U23" s="362"/>
    </row>
    <row r="24" spans="1:22" s="361" customFormat="1">
      <c r="A24" s="230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151"/>
      <c r="S24" s="150"/>
      <c r="T24" s="363"/>
      <c r="U24" s="362"/>
    </row>
    <row r="25" spans="1:22" s="361" customFormat="1">
      <c r="A25" s="251" t="s">
        <v>278</v>
      </c>
      <c r="B25" s="250" t="s">
        <v>277</v>
      </c>
      <c r="C25" s="240">
        <v>45658</v>
      </c>
      <c r="D25" s="238">
        <v>45689</v>
      </c>
      <c r="E25" s="249">
        <v>45717</v>
      </c>
      <c r="F25" s="248">
        <v>45748</v>
      </c>
      <c r="G25" s="247">
        <v>45778</v>
      </c>
      <c r="H25" s="246">
        <v>45809</v>
      </c>
      <c r="I25" s="243">
        <v>45839</v>
      </c>
      <c r="J25" s="245">
        <v>45870</v>
      </c>
      <c r="K25" s="244">
        <v>45901</v>
      </c>
      <c r="L25" s="243">
        <v>45931</v>
      </c>
      <c r="M25" s="242">
        <v>45962</v>
      </c>
      <c r="N25" s="241">
        <v>45992</v>
      </c>
      <c r="O25" s="238">
        <v>46023</v>
      </c>
      <c r="P25" s="240">
        <v>46054</v>
      </c>
      <c r="Q25" s="239">
        <v>46082</v>
      </c>
      <c r="R25" s="238">
        <v>46113</v>
      </c>
      <c r="S25" s="238">
        <v>46143</v>
      </c>
      <c r="T25" s="238">
        <v>46174</v>
      </c>
      <c r="U25" s="363"/>
      <c r="V25" s="362"/>
    </row>
    <row r="26" spans="1:22" s="361" customFormat="1">
      <c r="A26" s="237" t="s">
        <v>234</v>
      </c>
      <c r="B26" s="235">
        <f>D26+E26+C26+F26+G26+H26+I26+J26+K26+L26+M26+N26+O26+P26+Q26+R26+S26+T26</f>
        <v>23660000</v>
      </c>
      <c r="C26" s="235"/>
      <c r="D26" s="235"/>
      <c r="E26" s="235"/>
      <c r="F26" s="235"/>
      <c r="G26" s="235"/>
      <c r="H26" s="235">
        <v>1820000</v>
      </c>
      <c r="I26" s="235">
        <v>1820000</v>
      </c>
      <c r="J26" s="235">
        <v>1820000</v>
      </c>
      <c r="K26" s="235">
        <v>1820000</v>
      </c>
      <c r="L26" s="235">
        <v>1820000</v>
      </c>
      <c r="M26" s="235">
        <v>1820000</v>
      </c>
      <c r="N26" s="235">
        <v>1820000</v>
      </c>
      <c r="O26" s="235">
        <v>1820000</v>
      </c>
      <c r="P26" s="235">
        <v>1820000</v>
      </c>
      <c r="Q26" s="235">
        <v>1820000</v>
      </c>
      <c r="R26" s="235">
        <v>1820000</v>
      </c>
      <c r="S26" s="235">
        <v>1820000</v>
      </c>
      <c r="T26" s="235">
        <v>1820000</v>
      </c>
      <c r="U26" s="363"/>
      <c r="V26" s="362"/>
    </row>
    <row r="27" spans="1:22" s="361" customFormat="1">
      <c r="A27" s="150"/>
      <c r="B27" s="230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151"/>
      <c r="T27" s="254"/>
      <c r="U27" s="363"/>
      <c r="V27" s="362"/>
    </row>
    <row r="28" spans="1:22" s="361" customFormat="1">
      <c r="A28" s="150"/>
      <c r="B28" s="23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1"/>
      <c r="T28" s="254"/>
      <c r="U28" s="363"/>
      <c r="V28" s="362"/>
    </row>
    <row r="29" spans="1:22" s="361" customFormat="1">
      <c r="A29" s="251" t="s">
        <v>278</v>
      </c>
      <c r="B29" s="250" t="s">
        <v>277</v>
      </c>
      <c r="C29" s="240">
        <v>45658</v>
      </c>
      <c r="D29" s="238">
        <v>45689</v>
      </c>
      <c r="E29" s="249">
        <v>45717</v>
      </c>
      <c r="F29" s="248">
        <v>45748</v>
      </c>
      <c r="G29" s="247">
        <v>45778</v>
      </c>
      <c r="H29" s="246">
        <v>45809</v>
      </c>
      <c r="I29" s="243">
        <v>45839</v>
      </c>
      <c r="J29" s="245">
        <v>45870</v>
      </c>
      <c r="K29" s="244">
        <v>45901</v>
      </c>
      <c r="L29" s="243">
        <v>45931</v>
      </c>
      <c r="M29" s="242">
        <v>45962</v>
      </c>
      <c r="N29" s="241">
        <v>45992</v>
      </c>
      <c r="O29" s="238">
        <v>46023</v>
      </c>
      <c r="P29" s="240">
        <v>46054</v>
      </c>
      <c r="Q29" s="239">
        <v>46082</v>
      </c>
      <c r="R29" s="238">
        <v>46113</v>
      </c>
      <c r="S29" s="238">
        <v>46143</v>
      </c>
      <c r="T29" s="257"/>
      <c r="U29" s="363"/>
      <c r="V29" s="362"/>
    </row>
    <row r="30" spans="1:22" s="361" customFormat="1">
      <c r="A30" s="237" t="s">
        <v>324</v>
      </c>
      <c r="B30" s="327">
        <f>A21+B26</f>
        <v>6403555600</v>
      </c>
      <c r="C30" s="235">
        <f t="shared" ref="C30:S30" si="1">C21+C26</f>
        <v>36000000</v>
      </c>
      <c r="D30" s="235">
        <f t="shared" si="1"/>
        <v>15000000</v>
      </c>
      <c r="E30" s="235">
        <f t="shared" si="1"/>
        <v>5000000</v>
      </c>
      <c r="F30" s="235">
        <f t="shared" si="1"/>
        <v>18000000</v>
      </c>
      <c r="G30" s="235">
        <f t="shared" si="1"/>
        <v>0</v>
      </c>
      <c r="H30" s="235">
        <f t="shared" si="1"/>
        <v>1328600900</v>
      </c>
      <c r="I30" s="235">
        <f t="shared" si="1"/>
        <v>477820000</v>
      </c>
      <c r="J30" s="235">
        <f t="shared" si="1"/>
        <v>193820000</v>
      </c>
      <c r="K30" s="235">
        <f t="shared" si="1"/>
        <v>397748000</v>
      </c>
      <c r="L30" s="235">
        <f t="shared" si="1"/>
        <v>297748000</v>
      </c>
      <c r="M30" s="235">
        <f t="shared" si="1"/>
        <v>397748000</v>
      </c>
      <c r="N30" s="235">
        <f t="shared" si="1"/>
        <v>626820000</v>
      </c>
      <c r="O30" s="235">
        <f t="shared" si="1"/>
        <v>399820000</v>
      </c>
      <c r="P30" s="235">
        <f t="shared" si="1"/>
        <v>451820000</v>
      </c>
      <c r="Q30" s="235">
        <f t="shared" si="1"/>
        <v>686820000</v>
      </c>
      <c r="R30" s="235">
        <f t="shared" si="1"/>
        <v>666820000</v>
      </c>
      <c r="S30" s="235">
        <f t="shared" si="1"/>
        <v>371820000</v>
      </c>
      <c r="T30" s="254"/>
      <c r="U30" s="363"/>
      <c r="V30" s="362"/>
    </row>
    <row r="31" spans="1:22"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360"/>
    </row>
    <row r="32" spans="1:22">
      <c r="A32" s="251" t="s">
        <v>278</v>
      </c>
      <c r="B32" s="250" t="s">
        <v>277</v>
      </c>
      <c r="C32" s="240">
        <v>45658</v>
      </c>
      <c r="D32" s="238">
        <v>45689</v>
      </c>
      <c r="E32" s="249">
        <v>45717</v>
      </c>
      <c r="F32" s="248">
        <v>45748</v>
      </c>
      <c r="G32" s="247">
        <v>45778</v>
      </c>
      <c r="H32" s="246">
        <v>45809</v>
      </c>
      <c r="I32" s="243">
        <v>45839</v>
      </c>
      <c r="J32" s="245">
        <v>45870</v>
      </c>
      <c r="K32" s="244">
        <v>45901</v>
      </c>
      <c r="L32" s="243">
        <v>45931</v>
      </c>
      <c r="M32" s="242">
        <v>45962</v>
      </c>
      <c r="N32" s="241">
        <v>45992</v>
      </c>
      <c r="O32" s="238">
        <v>46023</v>
      </c>
      <c r="P32" s="240">
        <v>46054</v>
      </c>
      <c r="Q32" s="239">
        <v>46082</v>
      </c>
      <c r="R32" s="238">
        <v>46113</v>
      </c>
      <c r="S32" s="238">
        <v>46143</v>
      </c>
      <c r="T32" s="257"/>
    </row>
    <row r="33" spans="1:20">
      <c r="A33" s="237" t="s">
        <v>276</v>
      </c>
      <c r="B33" s="235">
        <f>D33+E33+C33+F33+G33+H33+I33+J33+K33+L33+M33+N33+O33+P33+Q33+R33+S33</f>
        <v>10140000000</v>
      </c>
      <c r="C33" s="235"/>
      <c r="D33" s="235"/>
      <c r="E33" s="235"/>
      <c r="F33" s="235"/>
      <c r="G33" s="235"/>
      <c r="H33" s="235">
        <v>845000000</v>
      </c>
      <c r="I33" s="235">
        <v>845000000</v>
      </c>
      <c r="J33" s="235">
        <v>845000000</v>
      </c>
      <c r="K33" s="235">
        <v>845000000</v>
      </c>
      <c r="L33" s="235">
        <v>845000000</v>
      </c>
      <c r="M33" s="235">
        <v>845000000</v>
      </c>
      <c r="N33" s="235">
        <v>845000000</v>
      </c>
      <c r="O33" s="235">
        <v>845000000</v>
      </c>
      <c r="P33" s="235">
        <v>845000000</v>
      </c>
      <c r="Q33" s="235">
        <v>845000000</v>
      </c>
      <c r="R33" s="235">
        <v>845000000</v>
      </c>
      <c r="S33" s="235">
        <v>845000000</v>
      </c>
    </row>
    <row r="34" spans="1:20"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</row>
    <row r="35" spans="1:20">
      <c r="A35" s="232" t="s">
        <v>275</v>
      </c>
      <c r="C35" s="231">
        <f t="shared" ref="C35:T35" si="2">C33-C30</f>
        <v>-36000000</v>
      </c>
      <c r="D35" s="231">
        <f t="shared" si="2"/>
        <v>-15000000</v>
      </c>
      <c r="E35" s="231">
        <f t="shared" si="2"/>
        <v>-5000000</v>
      </c>
      <c r="F35" s="231">
        <f t="shared" si="2"/>
        <v>-18000000</v>
      </c>
      <c r="G35" s="231">
        <f t="shared" si="2"/>
        <v>0</v>
      </c>
      <c r="H35" s="231">
        <f t="shared" si="2"/>
        <v>-483600900</v>
      </c>
      <c r="I35" s="231">
        <f t="shared" si="2"/>
        <v>367180000</v>
      </c>
      <c r="J35" s="231">
        <f t="shared" si="2"/>
        <v>651180000</v>
      </c>
      <c r="K35" s="231">
        <f t="shared" si="2"/>
        <v>447252000</v>
      </c>
      <c r="L35" s="231">
        <f t="shared" si="2"/>
        <v>547252000</v>
      </c>
      <c r="M35" s="231">
        <f t="shared" si="2"/>
        <v>447252000</v>
      </c>
      <c r="N35" s="231">
        <f t="shared" si="2"/>
        <v>218180000</v>
      </c>
      <c r="O35" s="231">
        <f t="shared" si="2"/>
        <v>445180000</v>
      </c>
      <c r="P35" s="231">
        <f t="shared" si="2"/>
        <v>393180000</v>
      </c>
      <c r="Q35" s="231">
        <f t="shared" si="2"/>
        <v>158180000</v>
      </c>
      <c r="R35" s="231">
        <f t="shared" si="2"/>
        <v>178180000</v>
      </c>
      <c r="S35" s="231">
        <f t="shared" si="2"/>
        <v>473180000</v>
      </c>
      <c r="T35" s="231">
        <f t="shared" si="2"/>
        <v>0</v>
      </c>
    </row>
    <row r="36" spans="1:20">
      <c r="A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</row>
    <row r="37" spans="1:20">
      <c r="A37" s="232" t="s">
        <v>274</v>
      </c>
      <c r="C37" s="231">
        <f>C35</f>
        <v>-36000000</v>
      </c>
      <c r="D37" s="231">
        <f t="shared" ref="D37:T37" si="3">SUM(C37,D35)</f>
        <v>-51000000</v>
      </c>
      <c r="E37" s="231">
        <f t="shared" si="3"/>
        <v>-56000000</v>
      </c>
      <c r="F37" s="231">
        <f t="shared" si="3"/>
        <v>-74000000</v>
      </c>
      <c r="G37" s="231">
        <f t="shared" si="3"/>
        <v>-74000000</v>
      </c>
      <c r="H37" s="231">
        <f t="shared" si="3"/>
        <v>-557600900</v>
      </c>
      <c r="I37" s="231">
        <f t="shared" si="3"/>
        <v>-190420900</v>
      </c>
      <c r="J37" s="231">
        <f t="shared" si="3"/>
        <v>460759100</v>
      </c>
      <c r="K37" s="231">
        <f t="shared" si="3"/>
        <v>908011100</v>
      </c>
      <c r="L37" s="231">
        <f t="shared" si="3"/>
        <v>1455263100</v>
      </c>
      <c r="M37" s="231">
        <f t="shared" si="3"/>
        <v>1902515100</v>
      </c>
      <c r="N37" s="231">
        <f t="shared" si="3"/>
        <v>2120695100</v>
      </c>
      <c r="O37" s="231">
        <f t="shared" si="3"/>
        <v>2565875100</v>
      </c>
      <c r="P37" s="231">
        <f t="shared" si="3"/>
        <v>2959055100</v>
      </c>
      <c r="Q37" s="231">
        <f t="shared" si="3"/>
        <v>3117235100</v>
      </c>
      <c r="R37" s="231">
        <f t="shared" si="3"/>
        <v>3295415100</v>
      </c>
      <c r="S37" s="231">
        <f t="shared" si="3"/>
        <v>3768595100</v>
      </c>
      <c r="T37" s="231">
        <f t="shared" si="3"/>
        <v>3768595100</v>
      </c>
    </row>
    <row r="38" spans="1:20" ht="16.5" thickBot="1">
      <c r="A38" s="152"/>
    </row>
    <row r="39" spans="1:20" ht="47.25">
      <c r="A39" s="359" t="s">
        <v>273</v>
      </c>
      <c r="B39" s="358" t="s">
        <v>272</v>
      </c>
      <c r="C39" s="358" t="s">
        <v>271</v>
      </c>
      <c r="D39" s="358" t="s">
        <v>323</v>
      </c>
      <c r="E39" s="357" t="s">
        <v>222</v>
      </c>
      <c r="F39" s="357" t="s">
        <v>322</v>
      </c>
      <c r="G39" s="356" t="s">
        <v>267</v>
      </c>
    </row>
    <row r="40" spans="1:20">
      <c r="A40" s="337"/>
      <c r="B40" s="329"/>
      <c r="C40" s="329"/>
      <c r="D40" s="329"/>
      <c r="E40" s="237"/>
      <c r="F40" s="237"/>
      <c r="G40" s="355"/>
    </row>
    <row r="41" spans="1:20" ht="31.5">
      <c r="A41" s="354" t="s">
        <v>321</v>
      </c>
      <c r="B41" s="235" t="s">
        <v>240</v>
      </c>
      <c r="C41" s="326">
        <f>45*20*12</f>
        <v>10800</v>
      </c>
      <c r="D41" s="235"/>
      <c r="E41" s="237"/>
      <c r="F41" s="237"/>
      <c r="G41" s="353">
        <v>3000</v>
      </c>
      <c r="H41" s="152"/>
    </row>
    <row r="42" spans="1:20">
      <c r="A42" s="328"/>
      <c r="B42" s="327"/>
      <c r="C42" s="326"/>
      <c r="D42" s="235"/>
      <c r="E42" s="237"/>
      <c r="F42" s="237"/>
      <c r="G42" s="353"/>
    </row>
    <row r="43" spans="1:20">
      <c r="A43" s="328" t="s">
        <v>320</v>
      </c>
      <c r="B43" s="327" t="s">
        <v>240</v>
      </c>
      <c r="C43" s="326">
        <f>C41-G41</f>
        <v>7800</v>
      </c>
      <c r="D43" s="235"/>
      <c r="E43" s="237"/>
      <c r="F43" s="237"/>
      <c r="G43" s="353"/>
    </row>
    <row r="44" spans="1:20">
      <c r="A44" s="328"/>
      <c r="B44" s="327"/>
      <c r="C44" s="326"/>
      <c r="D44" s="235"/>
      <c r="E44" s="237"/>
      <c r="F44" s="237"/>
      <c r="G44" s="353"/>
      <c r="J44" s="152"/>
      <c r="K44" s="152"/>
    </row>
    <row r="45" spans="1:20">
      <c r="A45" s="352" t="s">
        <v>237</v>
      </c>
      <c r="B45" s="350"/>
      <c r="C45" s="351"/>
      <c r="D45" s="350">
        <f>A21</f>
        <v>6379895600</v>
      </c>
      <c r="E45" s="350">
        <f>D45-F45</f>
        <v>683560242.8571434</v>
      </c>
      <c r="F45" s="349">
        <f>D45/1.12</f>
        <v>5696335357.1428566</v>
      </c>
      <c r="G45" s="324"/>
      <c r="H45" s="152"/>
      <c r="J45" s="152"/>
      <c r="K45" s="152"/>
    </row>
    <row r="46" spans="1:20">
      <c r="A46" s="348"/>
      <c r="B46" s="333"/>
      <c r="C46" s="334"/>
      <c r="D46" s="342"/>
      <c r="E46" s="342"/>
      <c r="F46" s="342"/>
      <c r="G46" s="336"/>
      <c r="J46" s="152"/>
      <c r="K46" s="152"/>
    </row>
    <row r="47" spans="1:20">
      <c r="A47" s="343"/>
      <c r="B47" s="333"/>
      <c r="C47" s="334"/>
      <c r="D47" s="342"/>
      <c r="E47" s="342"/>
      <c r="F47" s="342"/>
      <c r="G47" s="324"/>
      <c r="J47" s="152"/>
      <c r="K47" s="152"/>
    </row>
    <row r="48" spans="1:20">
      <c r="A48" s="347" t="s">
        <v>234</v>
      </c>
      <c r="B48" s="346"/>
      <c r="C48" s="345"/>
      <c r="D48" s="344">
        <f>B26</f>
        <v>23660000</v>
      </c>
      <c r="E48" s="344"/>
      <c r="F48" s="344">
        <f>D48</f>
        <v>23660000</v>
      </c>
      <c r="G48" s="324"/>
      <c r="J48" s="152"/>
      <c r="K48" s="152"/>
      <c r="L48" s="152"/>
    </row>
    <row r="49" spans="1:11">
      <c r="A49" s="343"/>
      <c r="B49" s="333"/>
      <c r="C49" s="334"/>
      <c r="D49" s="342"/>
      <c r="E49" s="342"/>
      <c r="F49" s="342"/>
      <c r="G49" s="324"/>
      <c r="J49" s="152"/>
      <c r="K49" s="152"/>
    </row>
    <row r="50" spans="1:11">
      <c r="A50" s="341" t="s">
        <v>319</v>
      </c>
      <c r="B50" s="340"/>
      <c r="C50" s="339"/>
      <c r="D50" s="338">
        <v>220000000</v>
      </c>
      <c r="E50" s="338"/>
      <c r="F50" s="338">
        <f>D50</f>
        <v>220000000</v>
      </c>
      <c r="G50" s="324"/>
      <c r="J50" s="152"/>
      <c r="K50" s="152"/>
    </row>
    <row r="51" spans="1:11">
      <c r="A51" s="337"/>
      <c r="B51" s="329"/>
      <c r="C51" s="329"/>
      <c r="D51" s="329"/>
      <c r="E51" s="329"/>
      <c r="F51" s="329"/>
      <c r="G51" s="336"/>
    </row>
    <row r="52" spans="1:11">
      <c r="A52" s="335" t="s">
        <v>318</v>
      </c>
      <c r="B52" s="333"/>
      <c r="C52" s="334"/>
      <c r="D52" s="333">
        <f>SUM(D45:D51)</f>
        <v>6623555600</v>
      </c>
      <c r="E52" s="333">
        <f>SUM(E45:E51)</f>
        <v>683560242.8571434</v>
      </c>
      <c r="F52" s="333">
        <f>SUM(F45:F51)</f>
        <v>5939995357.1428566</v>
      </c>
      <c r="G52" s="324"/>
    </row>
    <row r="53" spans="1:11">
      <c r="A53" s="328"/>
      <c r="B53" s="327"/>
      <c r="C53" s="326"/>
      <c r="D53" s="325"/>
      <c r="E53" s="325"/>
      <c r="F53" s="325"/>
      <c r="G53" s="324"/>
    </row>
    <row r="54" spans="1:11">
      <c r="A54" s="332" t="s">
        <v>317</v>
      </c>
      <c r="B54" s="331">
        <f>C43</f>
        <v>7800</v>
      </c>
      <c r="C54" s="330">
        <v>1550000</v>
      </c>
      <c r="D54" s="329">
        <f>C54*B54</f>
        <v>12090000000</v>
      </c>
      <c r="E54" s="329">
        <f>D54-F54</f>
        <v>1295357142.8571434</v>
      </c>
      <c r="F54" s="329">
        <f>D54/1.12</f>
        <v>10794642857.142857</v>
      </c>
      <c r="G54" s="324"/>
    </row>
    <row r="55" spans="1:11">
      <c r="A55" s="328"/>
      <c r="B55" s="327"/>
      <c r="C55" s="326"/>
      <c r="D55" s="325"/>
      <c r="E55" s="325"/>
      <c r="F55" s="325"/>
      <c r="G55" s="324"/>
    </row>
    <row r="56" spans="1:11">
      <c r="A56" s="441" t="s">
        <v>316</v>
      </c>
      <c r="B56" s="442"/>
      <c r="C56" s="443"/>
      <c r="D56" s="442"/>
      <c r="E56" s="442"/>
      <c r="F56" s="442">
        <f>F54-F52-611796900-970929500</f>
        <v>3271921100</v>
      </c>
      <c r="G56" s="323"/>
    </row>
    <row r="57" spans="1:11">
      <c r="A57" s="322"/>
      <c r="B57" s="320"/>
      <c r="C57" s="321"/>
      <c r="D57" s="320"/>
      <c r="E57" s="320"/>
      <c r="F57" s="320"/>
      <c r="G57" s="319"/>
    </row>
    <row r="58" spans="1:11">
      <c r="A58" s="322" t="s">
        <v>315</v>
      </c>
      <c r="B58" s="320"/>
      <c r="C58" s="321"/>
      <c r="D58" s="320"/>
      <c r="E58" s="320"/>
      <c r="F58" s="320">
        <f>E54-E52</f>
        <v>611796900</v>
      </c>
      <c r="G58" s="319"/>
    </row>
    <row r="59" spans="1:11">
      <c r="A59" s="322"/>
      <c r="B59" s="320"/>
      <c r="C59" s="321"/>
      <c r="D59" s="320"/>
      <c r="E59" s="320"/>
      <c r="F59" s="320"/>
      <c r="G59" s="319"/>
    </row>
    <row r="60" spans="1:11">
      <c r="A60" s="322" t="s">
        <v>223</v>
      </c>
      <c r="B60" s="320"/>
      <c r="C60" s="321"/>
      <c r="D60" s="320"/>
      <c r="E60" s="320"/>
      <c r="F60" s="320">
        <f>F56*0.2</f>
        <v>654384220</v>
      </c>
      <c r="G60" s="319"/>
    </row>
    <row r="61" spans="1:11">
      <c r="A61" s="322"/>
      <c r="B61" s="320"/>
      <c r="C61" s="321"/>
      <c r="D61" s="320"/>
      <c r="E61" s="320"/>
      <c r="F61" s="320"/>
      <c r="G61" s="319"/>
    </row>
    <row r="62" spans="1:11" ht="16.5" thickBot="1">
      <c r="A62" s="318"/>
      <c r="B62" s="317"/>
      <c r="C62" s="315"/>
      <c r="D62" s="316"/>
      <c r="E62" s="315"/>
      <c r="F62" s="315"/>
      <c r="G62" s="3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Input data</vt:lpstr>
      <vt:lpstr>Cash Flow</vt:lpstr>
      <vt:lpstr>CAPEX</vt:lpstr>
      <vt:lpstr>OPEX-WC</vt:lpstr>
      <vt:lpstr>ФОТ строит</vt:lpstr>
      <vt:lpstr>Факт МЖК </vt:lpstr>
      <vt:lpstr>МЖК </vt:lpstr>
      <vt:lpstr>БЦ</vt:lpstr>
      <vt:lpstr>CAPEX!Область_печати</vt:lpstr>
      <vt:lpstr>'Cash Flow'!Область_печати</vt:lpstr>
      <vt:lpstr>'OPEX-WC'!Область_печати</vt:lpstr>
      <vt:lpstr>'ФОТ строит'!Область_печати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 Shauzhanov</dc:creator>
  <cp:lastModifiedBy>user</cp:lastModifiedBy>
  <cp:lastPrinted>2024-11-25T09:01:14Z</cp:lastPrinted>
  <dcterms:created xsi:type="dcterms:W3CDTF">2024-05-14T09:17:47Z</dcterms:created>
  <dcterms:modified xsi:type="dcterms:W3CDTF">2025-04-12T08:04:22Z</dcterms:modified>
</cp:coreProperties>
</file>