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&amp;L" sheetId="1" r:id="rId4"/>
    <sheet state="visible" name="Cash Flow" sheetId="2" r:id="rId5"/>
  </sheets>
  <definedNames/>
  <calcPr/>
  <extLst>
    <ext uri="GoogleSheetsCustomDataVersion2">
      <go:sheetsCustomData xmlns:go="http://customooxmlschemas.google.com/" r:id="rId6" roundtripDataChecksum="IdDWv+GeVSVXtAZHKDNBQuxEPrHxrqwMB6oQMFPzDXQ="/>
    </ext>
  </extLst>
</workbook>
</file>

<file path=xl/sharedStrings.xml><?xml version="1.0" encoding="utf-8"?>
<sst xmlns="http://schemas.openxmlformats.org/spreadsheetml/2006/main" count="317" uniqueCount="192">
  <si>
    <t xml:space="preserve">ФИНАНСОВО-ЭКОНОМИЧЕСКАЯ МОДЕЛЬ ПРОЕКТА ВИДЕО ИГРЫ “OREON” </t>
  </si>
  <si>
    <t>ТОО “Wood Cabin Games”</t>
  </si>
  <si>
    <t>Вводные данные:</t>
  </si>
  <si>
    <t>Горизонт расчета расходов,</t>
  </si>
  <si>
    <t>месяцев</t>
  </si>
  <si>
    <t>в том числе:</t>
  </si>
  <si>
    <t>разработка проекта видео игры</t>
  </si>
  <si>
    <t xml:space="preserve">месяцев </t>
  </si>
  <si>
    <t>реализация (продажа) видео игры</t>
  </si>
  <si>
    <t>Годовой объем продаж</t>
  </si>
  <si>
    <t>копий</t>
  </si>
  <si>
    <t>Команда</t>
  </si>
  <si>
    <t>участников</t>
  </si>
  <si>
    <t xml:space="preserve">Участник АСТАНА ХАБ: </t>
  </si>
  <si>
    <t>ИПН</t>
  </si>
  <si>
    <t>льготы</t>
  </si>
  <si>
    <t>НДС</t>
  </si>
  <si>
    <t>КПН</t>
  </si>
  <si>
    <t>Необходимый объем Инвестиций</t>
  </si>
  <si>
    <r>
      <rPr>
        <rFont val="Calibri"/>
        <color theme="1"/>
        <sz val="11.0"/>
      </rPr>
      <t xml:space="preserve">тенге (эквивалент </t>
    </r>
    <r>
      <rPr>
        <rFont val="Calibri"/>
        <b/>
        <color theme="1"/>
        <sz val="11.0"/>
      </rPr>
      <t>$</t>
    </r>
    <r>
      <rPr>
        <rFont val="Calibri"/>
        <color theme="1"/>
        <sz val="11.0"/>
      </rPr>
      <t>)</t>
    </r>
  </si>
  <si>
    <t xml:space="preserve">Возврат инвестиций в первый месяц продаж от начала выпуска видео игры </t>
  </si>
  <si>
    <r>
      <rPr>
        <rFont val="Calibri"/>
        <color theme="1"/>
        <sz val="11.0"/>
      </rPr>
      <t xml:space="preserve">тенге (эквивалент </t>
    </r>
    <r>
      <rPr>
        <rFont val="Calibri"/>
        <b/>
        <color theme="1"/>
        <sz val="11.0"/>
      </rPr>
      <t>$</t>
    </r>
    <r>
      <rPr>
        <rFont val="Calibri"/>
        <color theme="1"/>
        <sz val="11.0"/>
      </rPr>
      <t>)</t>
    </r>
  </si>
  <si>
    <t xml:space="preserve">Прогнозируемые доходы от реализации проекта видеоигры "OREON" </t>
  </si>
  <si>
    <t xml:space="preserve">$ </t>
  </si>
  <si>
    <t>№</t>
  </si>
  <si>
    <t>Наименование</t>
  </si>
  <si>
    <t>Объем продаж, в месяц</t>
  </si>
  <si>
    <t>Ед.измерения</t>
  </si>
  <si>
    <t xml:space="preserve">Объем продаж,в год </t>
  </si>
  <si>
    <t>Стоимость, $/ед копий</t>
  </si>
  <si>
    <t>Годовой прогноз доходов, $</t>
  </si>
  <si>
    <t xml:space="preserve">1 месяц </t>
  </si>
  <si>
    <t xml:space="preserve">2 месяц </t>
  </si>
  <si>
    <t xml:space="preserve">3 месяц </t>
  </si>
  <si>
    <t xml:space="preserve">4 месяц </t>
  </si>
  <si>
    <t xml:space="preserve">5 месяц </t>
  </si>
  <si>
    <t xml:space="preserve">6 месяц </t>
  </si>
  <si>
    <t xml:space="preserve">7 месяц </t>
  </si>
  <si>
    <t xml:space="preserve">8 месяц </t>
  </si>
  <si>
    <t xml:space="preserve">9 месяц </t>
  </si>
  <si>
    <t xml:space="preserve">10 месяц </t>
  </si>
  <si>
    <t xml:space="preserve">11 месяц </t>
  </si>
  <si>
    <t xml:space="preserve">12 месяц </t>
  </si>
  <si>
    <t>1.</t>
  </si>
  <si>
    <t xml:space="preserve">Цифровой продукт: Видеоигра – “OREON” </t>
  </si>
  <si>
    <t>копия</t>
  </si>
  <si>
    <t>2.</t>
  </si>
  <si>
    <t>Комиссия Steam (30%) за предоставление платформы</t>
  </si>
  <si>
    <t>3.</t>
  </si>
  <si>
    <t>Комиссия АстанаХаб (1%) за участие</t>
  </si>
  <si>
    <t>4.</t>
  </si>
  <si>
    <t>ИТОГО доход за вычетом комиссии Steam и АстанаХаб</t>
  </si>
  <si>
    <t>5.</t>
  </si>
  <si>
    <t>ИТОГО доход за вычетом комиссии Steam и АстанаХаб в тенге по курсу 520 тенге/долл США</t>
  </si>
  <si>
    <t>тенге</t>
  </si>
  <si>
    <t xml:space="preserve">Прогнозируемые расходы проекта видеоигры “OREON” </t>
  </si>
  <si>
    <t>курс тенге/долл.</t>
  </si>
  <si>
    <t xml:space="preserve">Наименование расходов </t>
  </si>
  <si>
    <t xml:space="preserve">Расходы в месяц, тенге  </t>
  </si>
  <si>
    <t>Ед. изм. в месяцах</t>
  </si>
  <si>
    <t>Общая сумма расходов за год, тенге</t>
  </si>
  <si>
    <t>1 месяц</t>
  </si>
  <si>
    <t>2 месяц</t>
  </si>
  <si>
    <t>3 месяц</t>
  </si>
  <si>
    <t>4 месяц</t>
  </si>
  <si>
    <t>5 месяц</t>
  </si>
  <si>
    <t>6 месяц</t>
  </si>
  <si>
    <t>7 месяц</t>
  </si>
  <si>
    <t>8 месяц</t>
  </si>
  <si>
    <t>9 месяц</t>
  </si>
  <si>
    <t>10 месяц</t>
  </si>
  <si>
    <t>11 месяц</t>
  </si>
  <si>
    <t>12 месяц</t>
  </si>
  <si>
    <t>13 месяц</t>
  </si>
  <si>
    <t>14 месяц</t>
  </si>
  <si>
    <t>15 месяц</t>
  </si>
  <si>
    <t>16 месяц</t>
  </si>
  <si>
    <t>17 месяц</t>
  </si>
  <si>
    <t>18 месяц</t>
  </si>
  <si>
    <t>19 месяц</t>
  </si>
  <si>
    <t>20 месяц</t>
  </si>
  <si>
    <t>21 месяц</t>
  </si>
  <si>
    <t>22 месяц</t>
  </si>
  <si>
    <t>23 месяц</t>
  </si>
  <si>
    <t>24 месяц</t>
  </si>
  <si>
    <t>Оплата услуг специалистов (руководитель проекта, художник, аниматор, программист):</t>
  </si>
  <si>
    <t>1.1.</t>
  </si>
  <si>
    <t>руководитель проекта</t>
  </si>
  <si>
    <t>1.2.</t>
  </si>
  <si>
    <t>художник</t>
  </si>
  <si>
    <t>1.3.</t>
  </si>
  <si>
    <t xml:space="preserve"> аниматор</t>
  </si>
  <si>
    <t>1.4.</t>
  </si>
  <si>
    <t>программист (бекэнд)</t>
  </si>
  <si>
    <t>1.5.</t>
  </si>
  <si>
    <t>программист (фронтэнд)</t>
  </si>
  <si>
    <t>1.6.</t>
  </si>
  <si>
    <t xml:space="preserve">композитор </t>
  </si>
  <si>
    <t>1.7.</t>
  </si>
  <si>
    <t>геймдизайнер</t>
  </si>
  <si>
    <t>1.8.</t>
  </si>
  <si>
    <t>сценарист</t>
  </si>
  <si>
    <t>Налоги и другие обязательные платежи в бюджет (без НДС и ИПН)</t>
  </si>
  <si>
    <t>Налоги по оплате труда</t>
  </si>
  <si>
    <t>ОПВ 10%</t>
  </si>
  <si>
    <t>СО 5%</t>
  </si>
  <si>
    <t>ВОСМС 2%</t>
  </si>
  <si>
    <t>ООСМС 3%</t>
  </si>
  <si>
    <t>ИПН 10% (освобождение по АстанаХаб)</t>
  </si>
  <si>
    <t>СН 11%</t>
  </si>
  <si>
    <t xml:space="preserve">Расходы на Движок (Unity) $230 ежемесячно </t>
  </si>
  <si>
    <t xml:space="preserve">4. </t>
  </si>
  <si>
    <t>Маркентинг (СМИ, YouTube, Twitch, Instageram, TikTok, Летсплееры, Блоггеры т.д.)</t>
  </si>
  <si>
    <t>ИТОГО (без НДС и ИПН ), тенге</t>
  </si>
  <si>
    <t xml:space="preserve">6. </t>
  </si>
  <si>
    <t>ИТОГО потребность в инвестициях, долларов США</t>
  </si>
  <si>
    <t xml:space="preserve">Прогноз прибыли и убытков </t>
  </si>
  <si>
    <t>Период</t>
  </si>
  <si>
    <t>Первый год</t>
  </si>
  <si>
    <t>Второй год</t>
  </si>
  <si>
    <t>1-ое полугодие</t>
  </si>
  <si>
    <t>2-ое полугодие</t>
  </si>
  <si>
    <t xml:space="preserve">ДОХОДЫ </t>
  </si>
  <si>
    <t>Доходы от реализации видео игры</t>
  </si>
  <si>
    <t xml:space="preserve">РАСХОДЫ </t>
  </si>
  <si>
    <t>Расходы на создание видео игры</t>
  </si>
  <si>
    <t>ЧИСТАЯ ПРИБЫЛЬ*</t>
  </si>
  <si>
    <t>*Компания,  как участник Астана Хаб освобождена от уплаты налогов по НДС, КПН, ИПН</t>
  </si>
  <si>
    <t>*Расходы с начала периода реализации игры осуществляются за счет получаемых доходов</t>
  </si>
  <si>
    <t xml:space="preserve">*Распределение чистой прибыли, согласно долевого участия учредителей и условий предоставления инвестиций Инвесторами для разработки Проекта. </t>
  </si>
  <si>
    <t>*Проект планируется к реализации по принципу долгосрочной монетизации с учётом выпуска DLC (дополнений), постоянного развития сюжета и игровых механик в долгосрочной перспективе.</t>
  </si>
  <si>
    <t xml:space="preserve">Прогнозируемые расходы проекта видеоигры “OREON”  </t>
  </si>
  <si>
    <t>`</t>
  </si>
  <si>
    <t>Общая сумма расходов за 18 мес, тенге</t>
  </si>
  <si>
    <t>НДС 16% (освобождение по Астана Хаб)</t>
  </si>
  <si>
    <t>Комиссия Steam 30% с каждой копии</t>
  </si>
  <si>
    <t xml:space="preserve">Комиссия Астана Хаб </t>
  </si>
  <si>
    <t xml:space="preserve">Маркентинг </t>
  </si>
  <si>
    <t xml:space="preserve">Прогноз движения денежных средств проекта "OREON" </t>
  </si>
  <si>
    <t>Период создания игры</t>
  </si>
  <si>
    <t>Период реализации игры</t>
  </si>
  <si>
    <t>1 мес</t>
  </si>
  <si>
    <t>2 мес</t>
  </si>
  <si>
    <t>3 мес</t>
  </si>
  <si>
    <t>4 мес</t>
  </si>
  <si>
    <t>5 мес</t>
  </si>
  <si>
    <t>6 мес</t>
  </si>
  <si>
    <t>7 мес</t>
  </si>
  <si>
    <t>8 мес</t>
  </si>
  <si>
    <t>9 мес</t>
  </si>
  <si>
    <t>10 мес</t>
  </si>
  <si>
    <t>11 мес</t>
  </si>
  <si>
    <t>12 мес</t>
  </si>
  <si>
    <t>13 мес</t>
  </si>
  <si>
    <t>14 мес</t>
  </si>
  <si>
    <t>15 мес</t>
  </si>
  <si>
    <t>16 мес</t>
  </si>
  <si>
    <t>17 мес</t>
  </si>
  <si>
    <t>18 мес</t>
  </si>
  <si>
    <t>19 мес</t>
  </si>
  <si>
    <t>20 мес</t>
  </si>
  <si>
    <t>21 мес</t>
  </si>
  <si>
    <t>22 мес</t>
  </si>
  <si>
    <t>23 мес</t>
  </si>
  <si>
    <t>24 мес</t>
  </si>
  <si>
    <t>ОПЕРАЦИОННАЯ ДЕЯТЕЛЬНОСТЬ</t>
  </si>
  <si>
    <t>Приток денежных средств</t>
  </si>
  <si>
    <t>Реализация видео игры</t>
  </si>
  <si>
    <t>Итого приток денежных средств</t>
  </si>
  <si>
    <t>Отток денежных средств</t>
  </si>
  <si>
    <t>Расходы</t>
  </si>
  <si>
    <t>Итого отток денежных средств</t>
  </si>
  <si>
    <t>Итого чистый денежный поток от операционной деятельности</t>
  </si>
  <si>
    <t>ИНВЕСТИЦИОННАЯ ДЕЯТЕЛЬНОСТЬ</t>
  </si>
  <si>
    <t>Выплаты по налогам</t>
  </si>
  <si>
    <t>Расходы на движок Юнити</t>
  </si>
  <si>
    <t>Маркетинг</t>
  </si>
  <si>
    <t>Итого чистый денежный поток от инвестиционной деятельности</t>
  </si>
  <si>
    <t>ФИНАНСОВАЯ ДЕЯТЕЛЬНОСТЬ</t>
  </si>
  <si>
    <t>Получение финансового займа</t>
  </si>
  <si>
    <t>Погашение инвестиций</t>
  </si>
  <si>
    <t>Итого чистый денежный поток от финансовой деятельности</t>
  </si>
  <si>
    <t>Денежные средства на начало периода</t>
  </si>
  <si>
    <t>Денежные средства на конец периода</t>
  </si>
  <si>
    <t>Куммулятивный денежный поток</t>
  </si>
  <si>
    <t xml:space="preserve">2-ое полугодие </t>
  </si>
  <si>
    <t>3-е полугодие</t>
  </si>
  <si>
    <t xml:space="preserve"> 4-ое полугодие</t>
  </si>
  <si>
    <t>Свободный денежный поток</t>
  </si>
  <si>
    <t xml:space="preserve">NPV </t>
  </si>
  <si>
    <t>IRR</t>
  </si>
  <si>
    <t>Ставка дисконтирования (WACC)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</si>
</sst>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,##0_ ;[Red]\-#,##0\ "/>
  </numFmts>
  <fonts count="15">
    <font>
      <sz val="11.0"/>
      <color theme="1"/>
      <name val="Calibri"/>
      <scheme val="minor"/>
    </font>
    <font>
      <b/>
      <sz val="11.0"/>
      <color theme="1"/>
      <name val="Calibri"/>
    </font>
    <font>
      <sz val="11.0"/>
      <color theme="1"/>
      <name val="Calibri"/>
    </font>
    <font>
      <color theme="1"/>
      <name val="Calibri"/>
      <scheme val="minor"/>
    </font>
    <font>
      <i/>
      <sz val="11.0"/>
      <color theme="1"/>
      <name val="Calibri"/>
    </font>
    <font>
      <b/>
      <i/>
      <sz val="11.0"/>
      <color theme="1"/>
      <name val="Calibri"/>
    </font>
    <font>
      <sz val="11.0"/>
      <color rgb="FFFF0000"/>
      <name val="Calibri"/>
    </font>
    <font>
      <b/>
      <i/>
      <u/>
      <sz val="11.0"/>
      <color theme="1"/>
      <name val="Calibri"/>
    </font>
    <font/>
    <font>
      <b/>
      <sz val="11.0"/>
      <color rgb="FFFF0000"/>
      <name val="Calibri"/>
    </font>
    <font>
      <b/>
      <sz val="9.0"/>
      <color theme="1"/>
      <name val="Arial"/>
    </font>
    <font>
      <sz val="9.0"/>
      <color theme="1"/>
      <name val="Arial"/>
    </font>
    <font>
      <b/>
      <i/>
      <sz val="9.0"/>
      <color theme="1"/>
      <name val="Arial"/>
    </font>
    <font>
      <b/>
      <sz val="9.0"/>
      <color rgb="FFFF0000"/>
      <name val="Arial"/>
    </font>
    <font>
      <b/>
      <sz val="10.0"/>
      <color rgb="FF000000"/>
      <name val="Arial Narrow"/>
    </font>
  </fonts>
  <fills count="4">
    <fill>
      <patternFill patternType="none"/>
    </fill>
    <fill>
      <patternFill patternType="lightGray"/>
    </fill>
    <fill>
      <patternFill patternType="solid">
        <fgColor rgb="FFDEEAF6"/>
        <bgColor rgb="FFDEEAF6"/>
      </patternFill>
    </fill>
    <fill>
      <patternFill patternType="solid">
        <fgColor theme="0"/>
        <bgColor theme="0"/>
      </patternFill>
    </fill>
  </fills>
  <borders count="27">
    <border/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/>
    </border>
    <border>
      <left style="medium">
        <color rgb="FF000000"/>
      </left>
      <right/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3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0" fontId="1" numFmtId="0" xfId="0" applyBorder="1" applyFont="1"/>
    <xf borderId="2" fillId="0" fontId="2" numFmtId="0" xfId="0" applyBorder="1" applyFont="1"/>
    <xf borderId="3" fillId="0" fontId="2" numFmtId="0" xfId="0" applyBorder="1" applyFont="1"/>
    <xf borderId="0" fillId="0" fontId="2" numFmtId="0" xfId="0" applyFont="1"/>
    <xf borderId="4" fillId="0" fontId="2" numFmtId="0" xfId="0" applyAlignment="1" applyBorder="1" applyFont="1">
      <alignment horizontal="left" vertical="center"/>
    </xf>
    <xf borderId="0" fillId="0" fontId="2" numFmtId="0" xfId="0" applyAlignment="1" applyFont="1">
      <alignment horizontal="left" vertical="center"/>
    </xf>
    <xf borderId="5" fillId="0" fontId="2" numFmtId="0" xfId="0" applyAlignment="1" applyBorder="1" applyFont="1">
      <alignment horizontal="left" vertical="center"/>
    </xf>
    <xf borderId="0" fillId="0" fontId="2" numFmtId="3" xfId="0" applyAlignment="1" applyFont="1" applyNumberFormat="1">
      <alignment horizontal="left" vertical="center"/>
    </xf>
    <xf borderId="4" fillId="0" fontId="1" numFmtId="0" xfId="0" applyAlignment="1" applyBorder="1" applyFont="1">
      <alignment horizontal="left" vertical="center"/>
    </xf>
    <xf borderId="0" fillId="0" fontId="1" numFmtId="3" xfId="0" applyAlignment="1" applyFont="1" applyNumberFormat="1">
      <alignment horizontal="left" vertical="center"/>
    </xf>
    <xf borderId="5" fillId="0" fontId="2" numFmtId="0" xfId="0" applyAlignment="1" applyBorder="1" applyFont="1">
      <alignment horizontal="left" shrinkToFit="0" vertical="center" wrapText="1"/>
    </xf>
    <xf borderId="5" fillId="0" fontId="1" numFmtId="3" xfId="0" applyAlignment="1" applyBorder="1" applyFont="1" applyNumberFormat="1">
      <alignment horizontal="left" shrinkToFit="0" vertical="center" wrapText="1"/>
    </xf>
    <xf borderId="4" fillId="0" fontId="1" numFmtId="0" xfId="0" applyAlignment="1" applyBorder="1" applyFont="1">
      <alignment horizontal="left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1" numFmtId="3" xfId="0" applyAlignment="1" applyBorder="1" applyFont="1" applyNumberFormat="1">
      <alignment horizontal="left"/>
    </xf>
    <xf borderId="0" fillId="0" fontId="2" numFmtId="0" xfId="0" applyAlignment="1" applyFont="1">
      <alignment horizontal="right"/>
    </xf>
    <xf borderId="0" fillId="0" fontId="3" numFmtId="0" xfId="0" applyFont="1"/>
    <xf borderId="9" fillId="0" fontId="1" numFmtId="0" xfId="0" applyAlignment="1" applyBorder="1" applyFont="1">
      <alignment horizontal="center" vertical="center"/>
    </xf>
    <xf borderId="9" fillId="0" fontId="1" numFmtId="2" xfId="0" applyAlignment="1" applyBorder="1" applyFont="1" applyNumberFormat="1">
      <alignment horizontal="center" shrinkToFit="0" vertical="center" wrapText="1"/>
    </xf>
    <xf borderId="9" fillId="0" fontId="2" numFmtId="0" xfId="0" applyAlignment="1" applyBorder="1" applyFont="1">
      <alignment horizontal="center" vertical="center"/>
    </xf>
    <xf borderId="9" fillId="0" fontId="2" numFmtId="0" xfId="0" applyAlignment="1" applyBorder="1" applyFont="1">
      <alignment horizontal="left" shrinkToFit="0" vertical="center" wrapText="1"/>
    </xf>
    <xf borderId="9" fillId="0" fontId="2" numFmtId="3" xfId="0" applyAlignment="1" applyBorder="1" applyFont="1" applyNumberFormat="1">
      <alignment horizontal="center"/>
    </xf>
    <xf borderId="9" fillId="0" fontId="2" numFmtId="0" xfId="0" applyAlignment="1" applyBorder="1" applyFont="1">
      <alignment horizontal="center" shrinkToFit="0" wrapText="1"/>
    </xf>
    <xf borderId="9" fillId="0" fontId="1" numFmtId="4" xfId="0" applyAlignment="1" applyBorder="1" applyFont="1" applyNumberFormat="1">
      <alignment horizontal="center"/>
    </xf>
    <xf borderId="9" fillId="0" fontId="1" numFmtId="3" xfId="0" applyAlignment="1" applyBorder="1" applyFont="1" applyNumberFormat="1">
      <alignment horizontal="center"/>
    </xf>
    <xf borderId="9" fillId="0" fontId="2" numFmtId="9" xfId="0" applyAlignment="1" applyBorder="1" applyFont="1" applyNumberFormat="1">
      <alignment horizontal="center"/>
    </xf>
    <xf borderId="9" fillId="0" fontId="1" numFmtId="0" xfId="0" applyAlignment="1" applyBorder="1" applyFont="1">
      <alignment horizontal="center"/>
    </xf>
    <xf borderId="9" fillId="0" fontId="1" numFmtId="0" xfId="0" applyAlignment="1" applyBorder="1" applyFont="1">
      <alignment horizontal="left" shrinkToFit="0" vertical="center" wrapText="1"/>
    </xf>
    <xf borderId="9" fillId="0" fontId="4" numFmtId="0" xfId="0" applyAlignment="1" applyBorder="1" applyFont="1">
      <alignment horizontal="center" vertical="center"/>
    </xf>
    <xf borderId="9" fillId="0" fontId="5" numFmtId="0" xfId="0" applyAlignment="1" applyBorder="1" applyFont="1">
      <alignment horizontal="left" shrinkToFit="0" vertical="center" wrapText="1"/>
    </xf>
    <xf borderId="9" fillId="0" fontId="4" numFmtId="3" xfId="0" applyAlignment="1" applyBorder="1" applyFont="1" applyNumberFormat="1">
      <alignment horizontal="center"/>
    </xf>
    <xf borderId="9" fillId="0" fontId="4" numFmtId="0" xfId="0" applyAlignment="1" applyBorder="1" applyFont="1">
      <alignment horizontal="center" shrinkToFit="0" wrapText="1"/>
    </xf>
    <xf borderId="9" fillId="0" fontId="5" numFmtId="3" xfId="0" applyAlignment="1" applyBorder="1" applyFont="1" applyNumberFormat="1">
      <alignment horizontal="center"/>
    </xf>
    <xf borderId="0" fillId="0" fontId="2" numFmtId="0" xfId="0" applyAlignment="1" applyFont="1">
      <alignment horizontal="center" vertical="center"/>
    </xf>
    <xf borderId="0" fillId="0" fontId="1" numFmtId="0" xfId="0" applyAlignment="1" applyFont="1">
      <alignment horizontal="left" shrinkToFit="0" vertical="center" wrapText="1"/>
    </xf>
    <xf borderId="0" fillId="0" fontId="2" numFmtId="3" xfId="0" applyAlignment="1" applyFont="1" applyNumberFormat="1">
      <alignment horizontal="center"/>
    </xf>
    <xf borderId="0" fillId="0" fontId="2" numFmtId="0" xfId="0" applyAlignment="1" applyFont="1">
      <alignment horizontal="center" shrinkToFit="0" wrapText="1"/>
    </xf>
    <xf borderId="0" fillId="0" fontId="1" numFmtId="3" xfId="0" applyAlignment="1" applyFont="1" applyNumberFormat="1">
      <alignment horizontal="center"/>
    </xf>
    <xf borderId="0" fillId="0" fontId="2" numFmtId="0" xfId="0" applyAlignment="1" applyFont="1">
      <alignment horizontal="center"/>
    </xf>
    <xf borderId="0" fillId="0" fontId="1" numFmtId="0" xfId="0" applyAlignment="1" applyFont="1">
      <alignment horizontal="left"/>
    </xf>
    <xf borderId="0" fillId="0" fontId="5" numFmtId="3" xfId="0" applyAlignment="1" applyFont="1" applyNumberFormat="1">
      <alignment horizontal="center"/>
    </xf>
    <xf borderId="9" fillId="0" fontId="2" numFmtId="0" xfId="0" applyAlignment="1" applyBorder="1" applyFont="1">
      <alignment horizontal="center" shrinkToFit="0" vertical="center" wrapText="1"/>
    </xf>
    <xf borderId="9" fillId="0" fontId="1" numFmtId="3" xfId="0" applyAlignment="1" applyBorder="1" applyFont="1" applyNumberFormat="1">
      <alignment horizontal="right"/>
    </xf>
    <xf borderId="9" fillId="0" fontId="2" numFmtId="0" xfId="0" applyAlignment="1" applyBorder="1" applyFont="1">
      <alignment horizontal="right"/>
    </xf>
    <xf borderId="9" fillId="0" fontId="2" numFmtId="3" xfId="0" applyAlignment="1" applyBorder="1" applyFont="1" applyNumberFormat="1">
      <alignment horizontal="right"/>
    </xf>
    <xf borderId="9" fillId="0" fontId="6" numFmtId="0" xfId="0" applyAlignment="1" applyBorder="1" applyFont="1">
      <alignment horizontal="left" shrinkToFit="0" vertical="center" wrapText="1"/>
    </xf>
    <xf borderId="9" fillId="0" fontId="6" numFmtId="3" xfId="0" applyAlignment="1" applyBorder="1" applyFont="1" applyNumberFormat="1">
      <alignment horizontal="right"/>
    </xf>
    <xf borderId="9" fillId="0" fontId="7" numFmtId="0" xfId="0" applyAlignment="1" applyBorder="1" applyFont="1">
      <alignment horizontal="left" shrinkToFit="0" vertical="center" wrapText="1"/>
    </xf>
    <xf borderId="0" fillId="0" fontId="1" numFmtId="3" xfId="0" applyAlignment="1" applyFont="1" applyNumberFormat="1">
      <alignment horizontal="right"/>
    </xf>
    <xf borderId="10" fillId="0" fontId="1" numFmtId="0" xfId="0" applyAlignment="1" applyBorder="1" applyFont="1">
      <alignment horizontal="center"/>
    </xf>
    <xf borderId="11" fillId="0" fontId="8" numFmtId="0" xfId="0" applyBorder="1" applyFont="1"/>
    <xf borderId="9" fillId="0" fontId="2" numFmtId="0" xfId="0" applyBorder="1" applyFont="1"/>
    <xf borderId="9" fillId="0" fontId="2" numFmtId="3" xfId="0" applyBorder="1" applyFont="1" applyNumberFormat="1"/>
    <xf borderId="0" fillId="0" fontId="2" numFmtId="3" xfId="0" applyFont="1" applyNumberFormat="1"/>
    <xf borderId="9" fillId="0" fontId="2" numFmtId="0" xfId="0" applyAlignment="1" applyBorder="1" applyFont="1">
      <alignment horizontal="center"/>
    </xf>
    <xf borderId="10" fillId="0" fontId="1" numFmtId="3" xfId="0" applyAlignment="1" applyBorder="1" applyFont="1" applyNumberFormat="1">
      <alignment horizontal="center"/>
    </xf>
    <xf borderId="0" fillId="0" fontId="1" numFmtId="0" xfId="0" applyAlignment="1" applyFont="1">
      <alignment readingOrder="0"/>
    </xf>
    <xf borderId="9" fillId="0" fontId="6" numFmtId="0" xfId="0" applyAlignment="1" applyBorder="1" applyFont="1">
      <alignment horizontal="right"/>
    </xf>
    <xf borderId="9" fillId="0" fontId="9" numFmtId="0" xfId="0" applyAlignment="1" applyBorder="1" applyFont="1">
      <alignment horizontal="left" shrinkToFit="0" vertical="center" wrapText="1"/>
    </xf>
    <xf borderId="9" fillId="0" fontId="9" numFmtId="3" xfId="0" applyAlignment="1" applyBorder="1" applyFont="1" applyNumberFormat="1">
      <alignment horizontal="right"/>
    </xf>
    <xf borderId="9" fillId="0" fontId="2" numFmtId="0" xfId="0" applyAlignment="1" applyBorder="1" applyFont="1">
      <alignment horizontal="right" shrinkToFit="0" wrapText="1"/>
    </xf>
    <xf borderId="12" fillId="2" fontId="2" numFmtId="0" xfId="0" applyBorder="1" applyFill="1" applyFont="1"/>
    <xf borderId="12" fillId="2" fontId="2" numFmtId="3" xfId="0" applyBorder="1" applyFont="1" applyNumberFormat="1"/>
    <xf borderId="12" fillId="2" fontId="1" numFmtId="0" xfId="0" applyBorder="1" applyFont="1"/>
    <xf borderId="9" fillId="3" fontId="10" numFmtId="0" xfId="0" applyAlignment="1" applyBorder="1" applyFill="1" applyFont="1">
      <alignment horizontal="left"/>
    </xf>
    <xf borderId="10" fillId="3" fontId="1" numFmtId="0" xfId="0" applyAlignment="1" applyBorder="1" applyFont="1">
      <alignment horizontal="center"/>
    </xf>
    <xf borderId="13" fillId="0" fontId="8" numFmtId="0" xfId="0" applyBorder="1" applyFont="1"/>
    <xf borderId="14" fillId="0" fontId="1" numFmtId="0" xfId="0" applyAlignment="1" applyBorder="1" applyFont="1">
      <alignment horizontal="center"/>
    </xf>
    <xf borderId="0" fillId="0" fontId="1" numFmtId="0" xfId="0" applyAlignment="1" applyFont="1">
      <alignment horizontal="center"/>
    </xf>
    <xf borderId="9" fillId="3" fontId="11" numFmtId="0" xfId="0" applyAlignment="1" applyBorder="1" applyFont="1">
      <alignment horizontal="left"/>
    </xf>
    <xf borderId="9" fillId="3" fontId="10" numFmtId="17" xfId="0" applyAlignment="1" applyBorder="1" applyFont="1" applyNumberFormat="1">
      <alignment horizontal="center"/>
    </xf>
    <xf borderId="15" fillId="3" fontId="10" numFmtId="17" xfId="0" applyAlignment="1" applyBorder="1" applyFont="1" applyNumberFormat="1">
      <alignment horizontal="center"/>
    </xf>
    <xf borderId="16" fillId="3" fontId="10" numFmtId="17" xfId="0" applyAlignment="1" applyBorder="1" applyFont="1" applyNumberFormat="1">
      <alignment horizontal="center"/>
    </xf>
    <xf borderId="12" fillId="3" fontId="10" numFmtId="17" xfId="0" applyAlignment="1" applyBorder="1" applyFont="1" applyNumberFormat="1">
      <alignment horizontal="center"/>
    </xf>
    <xf borderId="9" fillId="3" fontId="10" numFmtId="0" xfId="0" applyAlignment="1" applyBorder="1" applyFont="1">
      <alignment horizontal="center"/>
    </xf>
    <xf borderId="10" fillId="0" fontId="2" numFmtId="0" xfId="0" applyBorder="1" applyFont="1"/>
    <xf borderId="14" fillId="0" fontId="2" numFmtId="0" xfId="0" applyBorder="1" applyFont="1"/>
    <xf borderId="9" fillId="3" fontId="10" numFmtId="0" xfId="0" applyBorder="1" applyFont="1"/>
    <xf borderId="9" fillId="3" fontId="11" numFmtId="4" xfId="0" applyBorder="1" applyFont="1" applyNumberFormat="1"/>
    <xf borderId="10" fillId="0" fontId="2" numFmtId="3" xfId="0" applyBorder="1" applyFont="1" applyNumberFormat="1"/>
    <xf borderId="14" fillId="0" fontId="2" numFmtId="3" xfId="0" applyBorder="1" applyFont="1" applyNumberFormat="1"/>
    <xf borderId="9" fillId="3" fontId="11" numFmtId="0" xfId="0" applyBorder="1" applyFont="1"/>
    <xf borderId="9" fillId="3" fontId="11" numFmtId="3" xfId="0" applyBorder="1" applyFont="1" applyNumberFormat="1"/>
    <xf borderId="9" fillId="3" fontId="12" numFmtId="0" xfId="0" applyBorder="1" applyFont="1"/>
    <xf borderId="9" fillId="3" fontId="12" numFmtId="3" xfId="0" applyBorder="1" applyFont="1" applyNumberFormat="1"/>
    <xf borderId="15" fillId="3" fontId="12" numFmtId="3" xfId="0" applyBorder="1" applyFont="1" applyNumberFormat="1"/>
    <xf borderId="16" fillId="3" fontId="12" numFmtId="3" xfId="0" applyBorder="1" applyFont="1" applyNumberFormat="1"/>
    <xf borderId="12" fillId="3" fontId="12" numFmtId="3" xfId="0" applyBorder="1" applyFont="1" applyNumberFormat="1"/>
    <xf borderId="9" fillId="3" fontId="10" numFmtId="3" xfId="0" applyBorder="1" applyFont="1" applyNumberFormat="1"/>
    <xf borderId="16" fillId="3" fontId="10" numFmtId="3" xfId="0" applyBorder="1" applyFont="1" applyNumberFormat="1"/>
    <xf borderId="12" fillId="3" fontId="10" numFmtId="3" xfId="0" applyBorder="1" applyFont="1" applyNumberFormat="1"/>
    <xf borderId="9" fillId="3" fontId="10" numFmtId="0" xfId="0" applyAlignment="1" applyBorder="1" applyFont="1">
      <alignment shrinkToFit="0" wrapText="1"/>
    </xf>
    <xf borderId="15" fillId="3" fontId="10" numFmtId="3" xfId="0" applyBorder="1" applyFont="1" applyNumberFormat="1"/>
    <xf borderId="15" fillId="3" fontId="11" numFmtId="4" xfId="0" applyBorder="1" applyFont="1" applyNumberFormat="1"/>
    <xf borderId="16" fillId="3" fontId="11" numFmtId="4" xfId="0" applyBorder="1" applyFont="1" applyNumberFormat="1"/>
    <xf borderId="12" fillId="3" fontId="11" numFmtId="4" xfId="0" applyBorder="1" applyFont="1" applyNumberFormat="1"/>
    <xf borderId="15" fillId="3" fontId="11" numFmtId="3" xfId="0" applyBorder="1" applyFont="1" applyNumberFormat="1"/>
    <xf borderId="16" fillId="3" fontId="11" numFmtId="3" xfId="0" applyBorder="1" applyFont="1" applyNumberFormat="1"/>
    <xf borderId="12" fillId="3" fontId="11" numFmtId="3" xfId="0" applyBorder="1" applyFont="1" applyNumberFormat="1"/>
    <xf borderId="9" fillId="3" fontId="11" numFmtId="0" xfId="0" applyAlignment="1" applyBorder="1" applyFont="1">
      <alignment shrinkToFit="0" vertical="top" wrapText="1"/>
    </xf>
    <xf borderId="9" fillId="3" fontId="13" numFmtId="3" xfId="0" applyBorder="1" applyFont="1" applyNumberFormat="1"/>
    <xf borderId="15" fillId="3" fontId="13" numFmtId="3" xfId="0" applyBorder="1" applyFont="1" applyNumberFormat="1"/>
    <xf borderId="16" fillId="3" fontId="13" numFmtId="3" xfId="0" applyBorder="1" applyFont="1" applyNumberFormat="1"/>
    <xf borderId="12" fillId="3" fontId="13" numFmtId="3" xfId="0" applyBorder="1" applyFont="1" applyNumberFormat="1"/>
    <xf borderId="9" fillId="3" fontId="12" numFmtId="0" xfId="0" applyAlignment="1" applyBorder="1" applyFont="1">
      <alignment shrinkToFit="0" wrapText="1"/>
    </xf>
    <xf borderId="9" fillId="3" fontId="12" numFmtId="164" xfId="0" applyBorder="1" applyFont="1" applyNumberFormat="1"/>
    <xf borderId="9" fillId="0" fontId="1" numFmtId="3" xfId="0" applyBorder="1" applyFont="1" applyNumberFormat="1"/>
    <xf borderId="10" fillId="0" fontId="1" numFmtId="3" xfId="0" applyBorder="1" applyFont="1" applyNumberFormat="1"/>
    <xf borderId="14" fillId="0" fontId="1" numFmtId="3" xfId="0" applyBorder="1" applyFont="1" applyNumberFormat="1"/>
    <xf borderId="0" fillId="0" fontId="1" numFmtId="3" xfId="0" applyFont="1" applyNumberFormat="1"/>
    <xf borderId="12" fillId="3" fontId="11" numFmtId="0" xfId="0" applyBorder="1" applyFont="1"/>
    <xf borderId="17" fillId="3" fontId="10" numFmtId="0" xfId="0" applyAlignment="1" applyBorder="1" applyFont="1">
      <alignment horizontal="center" vertical="center"/>
    </xf>
    <xf borderId="18" fillId="3" fontId="10" numFmtId="0" xfId="0" applyAlignment="1" applyBorder="1" applyFont="1">
      <alignment horizontal="center" vertical="center"/>
    </xf>
    <xf borderId="18" fillId="0" fontId="1" numFmtId="0" xfId="0" applyAlignment="1" applyBorder="1" applyFont="1">
      <alignment horizontal="center" vertical="center"/>
    </xf>
    <xf borderId="19" fillId="0" fontId="1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center"/>
    </xf>
    <xf borderId="20" fillId="3" fontId="10" numFmtId="0" xfId="0" applyAlignment="1" applyBorder="1" applyFont="1">
      <alignment horizontal="center" vertical="center"/>
    </xf>
    <xf borderId="21" fillId="3" fontId="12" numFmtId="3" xfId="0" applyAlignment="1" applyBorder="1" applyFont="1" applyNumberFormat="1">
      <alignment horizontal="center"/>
    </xf>
    <xf borderId="22" fillId="3" fontId="10" numFmtId="3" xfId="0" applyAlignment="1" applyBorder="1" applyFont="1" applyNumberFormat="1">
      <alignment horizontal="center" vertical="center"/>
    </xf>
    <xf borderId="12" fillId="3" fontId="10" numFmtId="3" xfId="0" applyAlignment="1" applyBorder="1" applyFont="1" applyNumberFormat="1">
      <alignment horizontal="center" vertical="center"/>
    </xf>
    <xf borderId="23" fillId="3" fontId="10" numFmtId="3" xfId="0" applyBorder="1" applyFont="1" applyNumberFormat="1"/>
    <xf borderId="24" fillId="3" fontId="10" numFmtId="3" xfId="0" applyBorder="1" applyFont="1" applyNumberFormat="1"/>
    <xf borderId="0" fillId="0" fontId="2" numFmtId="40" xfId="0" applyFont="1" applyNumberFormat="1"/>
    <xf borderId="25" fillId="3" fontId="10" numFmtId="3" xfId="0" applyBorder="1" applyFont="1" applyNumberFormat="1"/>
    <xf borderId="26" fillId="3" fontId="10" numFmtId="9" xfId="0" applyBorder="1" applyFont="1" applyNumberFormat="1"/>
    <xf borderId="20" fillId="3" fontId="14" numFmtId="0" xfId="0" applyAlignment="1" applyBorder="1" applyFont="1">
      <alignment shrinkToFit="0" wrapText="1"/>
    </xf>
    <xf borderId="22" fillId="3" fontId="10" numFmtId="9" xfId="0" applyBorder="1" applyFont="1" applyNumberFormat="1"/>
  </cellXfs>
  <cellStyles count="1">
    <cellStyle xfId="0" name="Normal" builtinId="0"/>
  </cellStyles>
  <dxfs count="1">
    <dxf>
      <font>
        <b/>
        <color rgb="FFFF0000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0</xdr:colOff>
      <xdr:row>3</xdr:row>
      <xdr:rowOff>0</xdr:rowOff>
    </xdr:from>
    <xdr:ext cx="304800" cy="314325"/>
    <xdr:sp>
      <xdr:nvSpPr>
        <xdr:cNvPr descr="https://astanahub.com/static/img/core/tax-1.svg" id="3" name="Shape 3"/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4</xdr:col>
      <xdr:colOff>0</xdr:colOff>
      <xdr:row>3</xdr:row>
      <xdr:rowOff>0</xdr:rowOff>
    </xdr:from>
    <xdr:ext cx="304800" cy="314325"/>
    <xdr:sp>
      <xdr:nvSpPr>
        <xdr:cNvPr descr="https://astanahub.com/static/img/core/tax-1.svg" id="3" name="Shape 3"/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 outlineLevelCol="1"/>
  <cols>
    <col customWidth="1" min="1" max="1" width="8.14"/>
    <col customWidth="1" min="2" max="2" width="38.14"/>
    <col customWidth="1" min="3" max="3" width="16.86"/>
    <col customWidth="1" min="4" max="4" width="16.71"/>
    <col customWidth="1" min="5" max="5" width="18.43"/>
    <col customWidth="1" min="6" max="6" width="15.86"/>
    <col customWidth="1" min="7" max="7" width="13.43"/>
    <col customWidth="1" min="8" max="8" width="13.71" outlineLevel="1"/>
    <col customWidth="1" min="9" max="9" width="11.43" outlineLevel="1"/>
    <col customWidth="1" min="10" max="10" width="12.29" outlineLevel="1"/>
    <col customWidth="1" min="11" max="11" width="11.29" outlineLevel="1"/>
    <col customWidth="1" min="12" max="12" width="11.57" outlineLevel="1"/>
    <col customWidth="1" min="13" max="13" width="13.29" outlineLevel="1"/>
    <col customWidth="1" min="14" max="14" width="12.57" outlineLevel="1"/>
    <col customWidth="1" min="15" max="15" width="12.0" outlineLevel="1"/>
    <col customWidth="1" min="16" max="16" width="11.29" outlineLevel="1"/>
    <col customWidth="1" min="17" max="17" width="12.29" outlineLevel="1"/>
    <col customWidth="1" min="18" max="18" width="11.71" outlineLevel="1"/>
    <col customWidth="1" min="19" max="19" width="12.43" outlineLevel="1"/>
    <col customWidth="1" min="20" max="20" width="10.71" outlineLevel="1"/>
    <col customWidth="1" min="21" max="21" width="10.57" outlineLevel="1"/>
    <col customWidth="1" min="22" max="23" width="10.71" outlineLevel="1"/>
    <col customWidth="1" min="24" max="28" width="8.71"/>
    <col customWidth="1" min="29" max="29" width="12.0"/>
  </cols>
  <sheetData>
    <row r="1">
      <c r="B1" s="1" t="s">
        <v>0</v>
      </c>
    </row>
    <row r="2">
      <c r="B2" s="1" t="s">
        <v>1</v>
      </c>
    </row>
    <row r="3">
      <c r="B3" s="1"/>
    </row>
    <row r="4">
      <c r="B4" s="2" t="s">
        <v>2</v>
      </c>
      <c r="C4" s="3"/>
      <c r="D4" s="4"/>
      <c r="E4" s="5"/>
    </row>
    <row r="5">
      <c r="B5" s="6" t="s">
        <v>3</v>
      </c>
      <c r="C5" s="7">
        <f>C7+C8</f>
        <v>24</v>
      </c>
      <c r="D5" s="8" t="s">
        <v>4</v>
      </c>
      <c r="E5" s="5"/>
    </row>
    <row r="6">
      <c r="B6" s="6" t="s">
        <v>5</v>
      </c>
      <c r="C6" s="7"/>
      <c r="D6" s="8"/>
      <c r="E6" s="5"/>
    </row>
    <row r="7">
      <c r="B7" s="6" t="s">
        <v>6</v>
      </c>
      <c r="C7" s="7">
        <v>12.0</v>
      </c>
      <c r="D7" s="8" t="s">
        <v>7</v>
      </c>
      <c r="E7" s="5"/>
    </row>
    <row r="8">
      <c r="B8" s="6" t="s">
        <v>8</v>
      </c>
      <c r="C8" s="7">
        <v>12.0</v>
      </c>
      <c r="D8" s="8" t="s">
        <v>7</v>
      </c>
      <c r="E8" s="5"/>
    </row>
    <row r="9">
      <c r="B9" s="6" t="s">
        <v>9</v>
      </c>
      <c r="C9" s="9">
        <v>300000.0</v>
      </c>
      <c r="D9" s="8" t="s">
        <v>10</v>
      </c>
      <c r="E9" s="5"/>
    </row>
    <row r="10">
      <c r="B10" s="10" t="s">
        <v>11</v>
      </c>
      <c r="C10" s="9">
        <v>8.0</v>
      </c>
      <c r="D10" s="8" t="s">
        <v>12</v>
      </c>
      <c r="E10" s="5"/>
    </row>
    <row r="11">
      <c r="B11" s="10" t="s">
        <v>13</v>
      </c>
      <c r="C11" s="7"/>
      <c r="D11" s="8"/>
      <c r="E11" s="5"/>
    </row>
    <row r="12">
      <c r="B12" s="6" t="s">
        <v>14</v>
      </c>
      <c r="C12" s="7">
        <v>0.0</v>
      </c>
      <c r="D12" s="8" t="s">
        <v>15</v>
      </c>
      <c r="E12" s="5"/>
    </row>
    <row r="13">
      <c r="B13" s="6" t="s">
        <v>16</v>
      </c>
      <c r="C13" s="7">
        <v>0.0</v>
      </c>
      <c r="D13" s="8" t="s">
        <v>15</v>
      </c>
      <c r="E13" s="5"/>
    </row>
    <row r="14">
      <c r="B14" s="6" t="s">
        <v>17</v>
      </c>
      <c r="C14" s="7">
        <v>0.0</v>
      </c>
      <c r="D14" s="8" t="s">
        <v>15</v>
      </c>
      <c r="E14" s="5"/>
    </row>
    <row r="15">
      <c r="B15" s="10" t="s">
        <v>18</v>
      </c>
      <c r="C15" s="11">
        <f>E51</f>
        <v>102562600</v>
      </c>
      <c r="D15" s="12" t="s">
        <v>19</v>
      </c>
      <c r="E15" s="5"/>
    </row>
    <row r="16">
      <c r="B16" s="10"/>
      <c r="C16" s="11"/>
      <c r="D16" s="13">
        <f>E52</f>
        <v>205125.2</v>
      </c>
      <c r="E16" s="5"/>
    </row>
    <row r="17">
      <c r="B17" s="14" t="s">
        <v>20</v>
      </c>
      <c r="C17" s="11">
        <f>C15</f>
        <v>102562600</v>
      </c>
      <c r="D17" s="12" t="s">
        <v>21</v>
      </c>
      <c r="E17" s="5"/>
    </row>
    <row r="18">
      <c r="B18" s="15"/>
      <c r="C18" s="16"/>
      <c r="D18" s="17">
        <f>E52</f>
        <v>205125.2</v>
      </c>
    </row>
    <row r="20">
      <c r="B20" s="1" t="s">
        <v>22</v>
      </c>
      <c r="C20" s="1"/>
      <c r="D20" s="1"/>
      <c r="E20" s="1"/>
    </row>
    <row r="21" ht="15.75" customHeight="1">
      <c r="E21" s="18"/>
      <c r="F21" s="19" t="s">
        <v>23</v>
      </c>
    </row>
    <row r="22" ht="15.75" customHeight="1">
      <c r="A22" s="20" t="s">
        <v>24</v>
      </c>
      <c r="B22" s="20" t="s">
        <v>25</v>
      </c>
      <c r="C22" s="21" t="s">
        <v>26</v>
      </c>
      <c r="D22" s="21" t="s">
        <v>27</v>
      </c>
      <c r="E22" s="21" t="s">
        <v>28</v>
      </c>
      <c r="F22" s="21" t="s">
        <v>29</v>
      </c>
      <c r="G22" s="21" t="s">
        <v>30</v>
      </c>
      <c r="H22" s="21" t="s">
        <v>31</v>
      </c>
      <c r="I22" s="21" t="s">
        <v>32</v>
      </c>
      <c r="J22" s="21" t="s">
        <v>33</v>
      </c>
      <c r="K22" s="21" t="s">
        <v>34</v>
      </c>
      <c r="L22" s="21" t="s">
        <v>35</v>
      </c>
      <c r="M22" s="21" t="s">
        <v>36</v>
      </c>
      <c r="N22" s="21" t="s">
        <v>37</v>
      </c>
      <c r="O22" s="21" t="s">
        <v>38</v>
      </c>
      <c r="P22" s="21" t="s">
        <v>39</v>
      </c>
      <c r="Q22" s="21" t="s">
        <v>40</v>
      </c>
      <c r="R22" s="21" t="s">
        <v>41</v>
      </c>
      <c r="S22" s="21" t="s">
        <v>42</v>
      </c>
    </row>
    <row r="23" ht="15.75" customHeight="1">
      <c r="A23" s="22" t="s">
        <v>43</v>
      </c>
      <c r="B23" s="23" t="s">
        <v>44</v>
      </c>
      <c r="C23" s="24">
        <v>25000.0</v>
      </c>
      <c r="D23" s="25" t="s">
        <v>45</v>
      </c>
      <c r="E23" s="24">
        <f>C23*12</f>
        <v>300000</v>
      </c>
      <c r="F23" s="26">
        <v>19.99</v>
      </c>
      <c r="G23" s="27">
        <f>F23*E23</f>
        <v>5997000</v>
      </c>
      <c r="H23" s="27">
        <f t="shared" ref="H23:S23" si="1">$C$23*$F$23</f>
        <v>499750</v>
      </c>
      <c r="I23" s="27">
        <f t="shared" si="1"/>
        <v>499750</v>
      </c>
      <c r="J23" s="27">
        <f t="shared" si="1"/>
        <v>499750</v>
      </c>
      <c r="K23" s="27">
        <f t="shared" si="1"/>
        <v>499750</v>
      </c>
      <c r="L23" s="27">
        <f t="shared" si="1"/>
        <v>499750</v>
      </c>
      <c r="M23" s="27">
        <f t="shared" si="1"/>
        <v>499750</v>
      </c>
      <c r="N23" s="27">
        <f t="shared" si="1"/>
        <v>499750</v>
      </c>
      <c r="O23" s="27">
        <f t="shared" si="1"/>
        <v>499750</v>
      </c>
      <c r="P23" s="27">
        <f t="shared" si="1"/>
        <v>499750</v>
      </c>
      <c r="Q23" s="27">
        <f t="shared" si="1"/>
        <v>499750</v>
      </c>
      <c r="R23" s="27">
        <f t="shared" si="1"/>
        <v>499750</v>
      </c>
      <c r="S23" s="27">
        <f t="shared" si="1"/>
        <v>499750</v>
      </c>
    </row>
    <row r="24" ht="15.75" customHeight="1">
      <c r="A24" s="22" t="s">
        <v>46</v>
      </c>
      <c r="B24" s="23" t="s">
        <v>47</v>
      </c>
      <c r="C24" s="24">
        <f>(C23*F23)*0.3</f>
        <v>149925</v>
      </c>
      <c r="D24" s="25" t="s">
        <v>23</v>
      </c>
      <c r="E24" s="28">
        <v>0.3</v>
      </c>
      <c r="F24" s="29">
        <f>F23*E24</f>
        <v>5.997</v>
      </c>
      <c r="G24" s="27">
        <f>E23*F24</f>
        <v>1799100</v>
      </c>
      <c r="H24" s="27">
        <f t="shared" ref="H24:S24" si="2">$C$23*$F$24</f>
        <v>149925</v>
      </c>
      <c r="I24" s="27">
        <f t="shared" si="2"/>
        <v>149925</v>
      </c>
      <c r="J24" s="27">
        <f t="shared" si="2"/>
        <v>149925</v>
      </c>
      <c r="K24" s="27">
        <f t="shared" si="2"/>
        <v>149925</v>
      </c>
      <c r="L24" s="27">
        <f t="shared" si="2"/>
        <v>149925</v>
      </c>
      <c r="M24" s="27">
        <f t="shared" si="2"/>
        <v>149925</v>
      </c>
      <c r="N24" s="27">
        <f t="shared" si="2"/>
        <v>149925</v>
      </c>
      <c r="O24" s="27">
        <f t="shared" si="2"/>
        <v>149925</v>
      </c>
      <c r="P24" s="27">
        <f t="shared" si="2"/>
        <v>149925</v>
      </c>
      <c r="Q24" s="27">
        <f t="shared" si="2"/>
        <v>149925</v>
      </c>
      <c r="R24" s="27">
        <f t="shared" si="2"/>
        <v>149925</v>
      </c>
      <c r="S24" s="27">
        <f t="shared" si="2"/>
        <v>149925</v>
      </c>
    </row>
    <row r="25" ht="15.75" customHeight="1">
      <c r="A25" s="22" t="s">
        <v>48</v>
      </c>
      <c r="B25" s="23" t="s">
        <v>49</v>
      </c>
      <c r="C25" s="24">
        <f>C23*F23*0.01</f>
        <v>4997.5</v>
      </c>
      <c r="D25" s="25" t="s">
        <v>23</v>
      </c>
      <c r="E25" s="28">
        <v>0.01</v>
      </c>
      <c r="F25" s="26">
        <f>(F23-F24)*E25</f>
        <v>0.13993</v>
      </c>
      <c r="G25" s="27">
        <f>(E23*F23)*E25</f>
        <v>59970</v>
      </c>
      <c r="H25" s="27">
        <f>G25/12</f>
        <v>4997.5</v>
      </c>
      <c r="I25" s="27">
        <f t="shared" ref="I25:S25" si="3">H25</f>
        <v>4997.5</v>
      </c>
      <c r="J25" s="27">
        <f t="shared" si="3"/>
        <v>4997.5</v>
      </c>
      <c r="K25" s="27">
        <f t="shared" si="3"/>
        <v>4997.5</v>
      </c>
      <c r="L25" s="27">
        <f t="shared" si="3"/>
        <v>4997.5</v>
      </c>
      <c r="M25" s="27">
        <f t="shared" si="3"/>
        <v>4997.5</v>
      </c>
      <c r="N25" s="27">
        <f t="shared" si="3"/>
        <v>4997.5</v>
      </c>
      <c r="O25" s="27">
        <f t="shared" si="3"/>
        <v>4997.5</v>
      </c>
      <c r="P25" s="27">
        <f t="shared" si="3"/>
        <v>4997.5</v>
      </c>
      <c r="Q25" s="27">
        <f t="shared" si="3"/>
        <v>4997.5</v>
      </c>
      <c r="R25" s="27">
        <f t="shared" si="3"/>
        <v>4997.5</v>
      </c>
      <c r="S25" s="27">
        <f t="shared" si="3"/>
        <v>4997.5</v>
      </c>
    </row>
    <row r="26" ht="15.75" customHeight="1">
      <c r="A26" s="22" t="s">
        <v>50</v>
      </c>
      <c r="B26" s="30" t="s">
        <v>51</v>
      </c>
      <c r="C26" s="24">
        <f>(F23*C23)-C24-C25</f>
        <v>344827.5</v>
      </c>
      <c r="D26" s="25" t="s">
        <v>23</v>
      </c>
      <c r="E26" s="27"/>
      <c r="F26" s="26">
        <f t="shared" ref="F26:S26" si="4">F23-F24-F25</f>
        <v>13.85307</v>
      </c>
      <c r="G26" s="27">
        <f t="shared" si="4"/>
        <v>4137930</v>
      </c>
      <c r="H26" s="27">
        <f t="shared" si="4"/>
        <v>344827.5</v>
      </c>
      <c r="I26" s="27">
        <f t="shared" si="4"/>
        <v>344827.5</v>
      </c>
      <c r="J26" s="27">
        <f t="shared" si="4"/>
        <v>344827.5</v>
      </c>
      <c r="K26" s="27">
        <f t="shared" si="4"/>
        <v>344827.5</v>
      </c>
      <c r="L26" s="27">
        <f t="shared" si="4"/>
        <v>344827.5</v>
      </c>
      <c r="M26" s="27">
        <f t="shared" si="4"/>
        <v>344827.5</v>
      </c>
      <c r="N26" s="27">
        <f t="shared" si="4"/>
        <v>344827.5</v>
      </c>
      <c r="O26" s="27">
        <f t="shared" si="4"/>
        <v>344827.5</v>
      </c>
      <c r="P26" s="27">
        <f t="shared" si="4"/>
        <v>344827.5</v>
      </c>
      <c r="Q26" s="27">
        <f t="shared" si="4"/>
        <v>344827.5</v>
      </c>
      <c r="R26" s="27">
        <f t="shared" si="4"/>
        <v>344827.5</v>
      </c>
      <c r="S26" s="27">
        <f t="shared" si="4"/>
        <v>344827.5</v>
      </c>
    </row>
    <row r="27" ht="15.75" customHeight="1">
      <c r="A27" s="31" t="s">
        <v>52</v>
      </c>
      <c r="B27" s="32" t="s">
        <v>53</v>
      </c>
      <c r="C27" s="33">
        <f>C26*F30</f>
        <v>172413750</v>
      </c>
      <c r="D27" s="34" t="s">
        <v>54</v>
      </c>
      <c r="E27" s="35"/>
      <c r="F27" s="35">
        <f>F26*F30</f>
        <v>6926.535</v>
      </c>
      <c r="G27" s="35">
        <f t="shared" ref="G27:S27" si="5">G26*$F$30</f>
        <v>2068965000</v>
      </c>
      <c r="H27" s="35">
        <f t="shared" si="5"/>
        <v>172413750</v>
      </c>
      <c r="I27" s="35">
        <f t="shared" si="5"/>
        <v>172413750</v>
      </c>
      <c r="J27" s="35">
        <f t="shared" si="5"/>
        <v>172413750</v>
      </c>
      <c r="K27" s="35">
        <f t="shared" si="5"/>
        <v>172413750</v>
      </c>
      <c r="L27" s="35">
        <f t="shared" si="5"/>
        <v>172413750</v>
      </c>
      <c r="M27" s="35">
        <f t="shared" si="5"/>
        <v>172413750</v>
      </c>
      <c r="N27" s="35">
        <f t="shared" si="5"/>
        <v>172413750</v>
      </c>
      <c r="O27" s="35">
        <f t="shared" si="5"/>
        <v>172413750</v>
      </c>
      <c r="P27" s="35">
        <f t="shared" si="5"/>
        <v>172413750</v>
      </c>
      <c r="Q27" s="35">
        <f t="shared" si="5"/>
        <v>172413750</v>
      </c>
      <c r="R27" s="35">
        <f t="shared" si="5"/>
        <v>172413750</v>
      </c>
      <c r="S27" s="35">
        <f t="shared" si="5"/>
        <v>172413750</v>
      </c>
    </row>
    <row r="28" ht="15.75" customHeight="1">
      <c r="A28" s="36"/>
      <c r="B28" s="37"/>
      <c r="C28" s="38"/>
      <c r="D28" s="39"/>
      <c r="E28" s="40"/>
      <c r="F28" s="41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</row>
    <row r="29" ht="24.75" customHeight="1">
      <c r="B29" s="42" t="s">
        <v>55</v>
      </c>
      <c r="C29" s="42"/>
      <c r="D29" s="42"/>
      <c r="E29" s="42"/>
      <c r="F29" s="42"/>
      <c r="G29" s="43"/>
    </row>
    <row r="30" ht="15.75" customHeight="1">
      <c r="E30" s="1" t="s">
        <v>56</v>
      </c>
      <c r="F30" s="1">
        <v>500.0</v>
      </c>
      <c r="G30" s="1"/>
      <c r="H30" s="1" t="s">
        <v>54</v>
      </c>
    </row>
    <row r="31" ht="15.75" customHeight="1">
      <c r="A31" s="20" t="s">
        <v>24</v>
      </c>
      <c r="B31" s="20" t="s">
        <v>57</v>
      </c>
      <c r="C31" s="21" t="s">
        <v>58</v>
      </c>
      <c r="D31" s="21" t="s">
        <v>59</v>
      </c>
      <c r="E31" s="21" t="s">
        <v>60</v>
      </c>
      <c r="F31" s="21" t="s">
        <v>61</v>
      </c>
      <c r="G31" s="21" t="s">
        <v>62</v>
      </c>
      <c r="H31" s="21" t="s">
        <v>63</v>
      </c>
      <c r="I31" s="21" t="s">
        <v>64</v>
      </c>
      <c r="J31" s="21" t="s">
        <v>65</v>
      </c>
      <c r="K31" s="21" t="s">
        <v>66</v>
      </c>
      <c r="L31" s="21" t="s">
        <v>67</v>
      </c>
      <c r="M31" s="21" t="s">
        <v>68</v>
      </c>
      <c r="N31" s="21" t="s">
        <v>69</v>
      </c>
      <c r="O31" s="21" t="s">
        <v>70</v>
      </c>
      <c r="P31" s="21" t="s">
        <v>71</v>
      </c>
      <c r="Q31" s="21" t="s">
        <v>72</v>
      </c>
      <c r="R31" s="21" t="s">
        <v>73</v>
      </c>
      <c r="S31" s="21" t="s">
        <v>74</v>
      </c>
      <c r="T31" s="21" t="s">
        <v>75</v>
      </c>
      <c r="U31" s="21" t="s">
        <v>76</v>
      </c>
      <c r="V31" s="21" t="s">
        <v>77</v>
      </c>
      <c r="W31" s="21" t="s">
        <v>78</v>
      </c>
      <c r="X31" s="21" t="s">
        <v>79</v>
      </c>
      <c r="Y31" s="21" t="s">
        <v>80</v>
      </c>
      <c r="Z31" s="21" t="s">
        <v>81</v>
      </c>
      <c r="AA31" s="21" t="s">
        <v>82</v>
      </c>
      <c r="AB31" s="21" t="s">
        <v>83</v>
      </c>
      <c r="AC31" s="21" t="s">
        <v>84</v>
      </c>
    </row>
    <row r="32" ht="15.75" customHeight="1">
      <c r="A32" s="44" t="s">
        <v>43</v>
      </c>
      <c r="B32" s="30" t="s">
        <v>85</v>
      </c>
      <c r="C32" s="45">
        <f>SUM(C33:C40)</f>
        <v>5250000</v>
      </c>
      <c r="D32" s="46">
        <v>12.0</v>
      </c>
      <c r="E32" s="45">
        <f t="shared" ref="E32:E41" si="7">C32*D32</f>
        <v>63000000</v>
      </c>
      <c r="F32" s="45">
        <f t="shared" ref="F32:AC32" si="6">SUM(F33:F40)</f>
        <v>5250000</v>
      </c>
      <c r="G32" s="45">
        <f t="shared" si="6"/>
        <v>5250000</v>
      </c>
      <c r="H32" s="45">
        <f t="shared" si="6"/>
        <v>5250000</v>
      </c>
      <c r="I32" s="45">
        <f t="shared" si="6"/>
        <v>5250000</v>
      </c>
      <c r="J32" s="45">
        <f t="shared" si="6"/>
        <v>5250000</v>
      </c>
      <c r="K32" s="45">
        <f t="shared" si="6"/>
        <v>5250000</v>
      </c>
      <c r="L32" s="45">
        <f t="shared" si="6"/>
        <v>5250000</v>
      </c>
      <c r="M32" s="45">
        <f t="shared" si="6"/>
        <v>5250000</v>
      </c>
      <c r="N32" s="45">
        <f t="shared" si="6"/>
        <v>5250000</v>
      </c>
      <c r="O32" s="45">
        <f t="shared" si="6"/>
        <v>5250000</v>
      </c>
      <c r="P32" s="45">
        <f t="shared" si="6"/>
        <v>5250000</v>
      </c>
      <c r="Q32" s="45">
        <f t="shared" si="6"/>
        <v>5250000</v>
      </c>
      <c r="R32" s="45">
        <f t="shared" si="6"/>
        <v>5250000</v>
      </c>
      <c r="S32" s="45">
        <f t="shared" si="6"/>
        <v>5250000</v>
      </c>
      <c r="T32" s="45">
        <f t="shared" si="6"/>
        <v>5250000</v>
      </c>
      <c r="U32" s="45">
        <f t="shared" si="6"/>
        <v>5250000</v>
      </c>
      <c r="V32" s="45">
        <f t="shared" si="6"/>
        <v>5250000</v>
      </c>
      <c r="W32" s="45">
        <f t="shared" si="6"/>
        <v>5250000</v>
      </c>
      <c r="X32" s="45">
        <f t="shared" si="6"/>
        <v>5250000</v>
      </c>
      <c r="Y32" s="45">
        <f t="shared" si="6"/>
        <v>5250000</v>
      </c>
      <c r="Z32" s="45">
        <f t="shared" si="6"/>
        <v>5250000</v>
      </c>
      <c r="AA32" s="45">
        <f t="shared" si="6"/>
        <v>5250000</v>
      </c>
      <c r="AB32" s="45">
        <f t="shared" si="6"/>
        <v>5250000</v>
      </c>
      <c r="AC32" s="45">
        <f t="shared" si="6"/>
        <v>5250000</v>
      </c>
    </row>
    <row r="33" ht="15.75" customHeight="1">
      <c r="A33" s="44" t="s">
        <v>86</v>
      </c>
      <c r="B33" s="23" t="s">
        <v>87</v>
      </c>
      <c r="C33" s="47">
        <f>1500*F30</f>
        <v>750000</v>
      </c>
      <c r="D33" s="46">
        <v>12.0</v>
      </c>
      <c r="E33" s="47">
        <f t="shared" si="7"/>
        <v>9000000</v>
      </c>
      <c r="F33" s="47">
        <f t="shared" ref="F33:F40" si="9">C33</f>
        <v>750000</v>
      </c>
      <c r="G33" s="47">
        <f t="shared" ref="G33:AC33" si="8">F33</f>
        <v>750000</v>
      </c>
      <c r="H33" s="47">
        <f t="shared" si="8"/>
        <v>750000</v>
      </c>
      <c r="I33" s="47">
        <f t="shared" si="8"/>
        <v>750000</v>
      </c>
      <c r="J33" s="47">
        <f t="shared" si="8"/>
        <v>750000</v>
      </c>
      <c r="K33" s="47">
        <f t="shared" si="8"/>
        <v>750000</v>
      </c>
      <c r="L33" s="47">
        <f t="shared" si="8"/>
        <v>750000</v>
      </c>
      <c r="M33" s="47">
        <f t="shared" si="8"/>
        <v>750000</v>
      </c>
      <c r="N33" s="47">
        <f t="shared" si="8"/>
        <v>750000</v>
      </c>
      <c r="O33" s="47">
        <f t="shared" si="8"/>
        <v>750000</v>
      </c>
      <c r="P33" s="47">
        <f t="shared" si="8"/>
        <v>750000</v>
      </c>
      <c r="Q33" s="47">
        <f t="shared" si="8"/>
        <v>750000</v>
      </c>
      <c r="R33" s="47">
        <f t="shared" si="8"/>
        <v>750000</v>
      </c>
      <c r="S33" s="47">
        <f t="shared" si="8"/>
        <v>750000</v>
      </c>
      <c r="T33" s="47">
        <f t="shared" si="8"/>
        <v>750000</v>
      </c>
      <c r="U33" s="47">
        <f t="shared" si="8"/>
        <v>750000</v>
      </c>
      <c r="V33" s="47">
        <f t="shared" si="8"/>
        <v>750000</v>
      </c>
      <c r="W33" s="47">
        <f t="shared" si="8"/>
        <v>750000</v>
      </c>
      <c r="X33" s="47">
        <f t="shared" si="8"/>
        <v>750000</v>
      </c>
      <c r="Y33" s="47">
        <f t="shared" si="8"/>
        <v>750000</v>
      </c>
      <c r="Z33" s="47">
        <f t="shared" si="8"/>
        <v>750000</v>
      </c>
      <c r="AA33" s="47">
        <f t="shared" si="8"/>
        <v>750000</v>
      </c>
      <c r="AB33" s="47">
        <f t="shared" si="8"/>
        <v>750000</v>
      </c>
      <c r="AC33" s="47">
        <f t="shared" si="8"/>
        <v>750000</v>
      </c>
    </row>
    <row r="34" ht="15.75" customHeight="1">
      <c r="A34" s="44" t="s">
        <v>88</v>
      </c>
      <c r="B34" s="23" t="s">
        <v>89</v>
      </c>
      <c r="C34" s="47">
        <f>1500*F30</f>
        <v>750000</v>
      </c>
      <c r="D34" s="46">
        <v>12.0</v>
      </c>
      <c r="E34" s="47">
        <f t="shared" si="7"/>
        <v>9000000</v>
      </c>
      <c r="F34" s="47">
        <f t="shared" si="9"/>
        <v>750000</v>
      </c>
      <c r="G34" s="47">
        <f t="shared" ref="G34:AC34" si="10">F34</f>
        <v>750000</v>
      </c>
      <c r="H34" s="47">
        <f t="shared" si="10"/>
        <v>750000</v>
      </c>
      <c r="I34" s="47">
        <f t="shared" si="10"/>
        <v>750000</v>
      </c>
      <c r="J34" s="47">
        <f t="shared" si="10"/>
        <v>750000</v>
      </c>
      <c r="K34" s="47">
        <f t="shared" si="10"/>
        <v>750000</v>
      </c>
      <c r="L34" s="47">
        <f t="shared" si="10"/>
        <v>750000</v>
      </c>
      <c r="M34" s="47">
        <f t="shared" si="10"/>
        <v>750000</v>
      </c>
      <c r="N34" s="47">
        <f t="shared" si="10"/>
        <v>750000</v>
      </c>
      <c r="O34" s="47">
        <f t="shared" si="10"/>
        <v>750000</v>
      </c>
      <c r="P34" s="47">
        <f t="shared" si="10"/>
        <v>750000</v>
      </c>
      <c r="Q34" s="47">
        <f t="shared" si="10"/>
        <v>750000</v>
      </c>
      <c r="R34" s="47">
        <f t="shared" si="10"/>
        <v>750000</v>
      </c>
      <c r="S34" s="47">
        <f t="shared" si="10"/>
        <v>750000</v>
      </c>
      <c r="T34" s="47">
        <f t="shared" si="10"/>
        <v>750000</v>
      </c>
      <c r="U34" s="47">
        <f t="shared" si="10"/>
        <v>750000</v>
      </c>
      <c r="V34" s="47">
        <f t="shared" si="10"/>
        <v>750000</v>
      </c>
      <c r="W34" s="47">
        <f t="shared" si="10"/>
        <v>750000</v>
      </c>
      <c r="X34" s="47">
        <f t="shared" si="10"/>
        <v>750000</v>
      </c>
      <c r="Y34" s="47">
        <f t="shared" si="10"/>
        <v>750000</v>
      </c>
      <c r="Z34" s="47">
        <f t="shared" si="10"/>
        <v>750000</v>
      </c>
      <c r="AA34" s="47">
        <f t="shared" si="10"/>
        <v>750000</v>
      </c>
      <c r="AB34" s="47">
        <f t="shared" si="10"/>
        <v>750000</v>
      </c>
      <c r="AC34" s="47">
        <f t="shared" si="10"/>
        <v>750000</v>
      </c>
    </row>
    <row r="35" ht="15.75" customHeight="1">
      <c r="A35" s="44" t="s">
        <v>90</v>
      </c>
      <c r="B35" s="23" t="s">
        <v>91</v>
      </c>
      <c r="C35" s="47">
        <f>1500*F30</f>
        <v>750000</v>
      </c>
      <c r="D35" s="46">
        <v>12.0</v>
      </c>
      <c r="E35" s="47">
        <f t="shared" si="7"/>
        <v>9000000</v>
      </c>
      <c r="F35" s="47">
        <f t="shared" si="9"/>
        <v>750000</v>
      </c>
      <c r="G35" s="47">
        <f t="shared" ref="G35:AC35" si="11">F35</f>
        <v>750000</v>
      </c>
      <c r="H35" s="47">
        <f t="shared" si="11"/>
        <v>750000</v>
      </c>
      <c r="I35" s="47">
        <f t="shared" si="11"/>
        <v>750000</v>
      </c>
      <c r="J35" s="47">
        <f t="shared" si="11"/>
        <v>750000</v>
      </c>
      <c r="K35" s="47">
        <f t="shared" si="11"/>
        <v>750000</v>
      </c>
      <c r="L35" s="47">
        <f t="shared" si="11"/>
        <v>750000</v>
      </c>
      <c r="M35" s="47">
        <f t="shared" si="11"/>
        <v>750000</v>
      </c>
      <c r="N35" s="47">
        <f t="shared" si="11"/>
        <v>750000</v>
      </c>
      <c r="O35" s="47">
        <f t="shared" si="11"/>
        <v>750000</v>
      </c>
      <c r="P35" s="47">
        <f t="shared" si="11"/>
        <v>750000</v>
      </c>
      <c r="Q35" s="47">
        <f t="shared" si="11"/>
        <v>750000</v>
      </c>
      <c r="R35" s="47">
        <f t="shared" si="11"/>
        <v>750000</v>
      </c>
      <c r="S35" s="47">
        <f t="shared" si="11"/>
        <v>750000</v>
      </c>
      <c r="T35" s="47">
        <f t="shared" si="11"/>
        <v>750000</v>
      </c>
      <c r="U35" s="47">
        <f t="shared" si="11"/>
        <v>750000</v>
      </c>
      <c r="V35" s="47">
        <f t="shared" si="11"/>
        <v>750000</v>
      </c>
      <c r="W35" s="47">
        <f t="shared" si="11"/>
        <v>750000</v>
      </c>
      <c r="X35" s="47">
        <f t="shared" si="11"/>
        <v>750000</v>
      </c>
      <c r="Y35" s="47">
        <f t="shared" si="11"/>
        <v>750000</v>
      </c>
      <c r="Z35" s="47">
        <f t="shared" si="11"/>
        <v>750000</v>
      </c>
      <c r="AA35" s="47">
        <f t="shared" si="11"/>
        <v>750000</v>
      </c>
      <c r="AB35" s="47">
        <f t="shared" si="11"/>
        <v>750000</v>
      </c>
      <c r="AC35" s="47">
        <f t="shared" si="11"/>
        <v>750000</v>
      </c>
    </row>
    <row r="36" ht="15.75" customHeight="1">
      <c r="A36" s="44" t="s">
        <v>92</v>
      </c>
      <c r="B36" s="23" t="s">
        <v>93</v>
      </c>
      <c r="C36" s="47">
        <f>1500*F30</f>
        <v>750000</v>
      </c>
      <c r="D36" s="46">
        <v>12.0</v>
      </c>
      <c r="E36" s="47">
        <f t="shared" si="7"/>
        <v>9000000</v>
      </c>
      <c r="F36" s="47">
        <f t="shared" si="9"/>
        <v>750000</v>
      </c>
      <c r="G36" s="47">
        <f t="shared" ref="G36:AC36" si="12">F36</f>
        <v>750000</v>
      </c>
      <c r="H36" s="47">
        <f t="shared" si="12"/>
        <v>750000</v>
      </c>
      <c r="I36" s="47">
        <f t="shared" si="12"/>
        <v>750000</v>
      </c>
      <c r="J36" s="47">
        <f t="shared" si="12"/>
        <v>750000</v>
      </c>
      <c r="K36" s="47">
        <f t="shared" si="12"/>
        <v>750000</v>
      </c>
      <c r="L36" s="47">
        <f t="shared" si="12"/>
        <v>750000</v>
      </c>
      <c r="M36" s="47">
        <f t="shared" si="12"/>
        <v>750000</v>
      </c>
      <c r="N36" s="47">
        <f t="shared" si="12"/>
        <v>750000</v>
      </c>
      <c r="O36" s="47">
        <f t="shared" si="12"/>
        <v>750000</v>
      </c>
      <c r="P36" s="47">
        <f t="shared" si="12"/>
        <v>750000</v>
      </c>
      <c r="Q36" s="47">
        <f t="shared" si="12"/>
        <v>750000</v>
      </c>
      <c r="R36" s="47">
        <f t="shared" si="12"/>
        <v>750000</v>
      </c>
      <c r="S36" s="47">
        <f t="shared" si="12"/>
        <v>750000</v>
      </c>
      <c r="T36" s="47">
        <f t="shared" si="12"/>
        <v>750000</v>
      </c>
      <c r="U36" s="47">
        <f t="shared" si="12"/>
        <v>750000</v>
      </c>
      <c r="V36" s="47">
        <f t="shared" si="12"/>
        <v>750000</v>
      </c>
      <c r="W36" s="47">
        <f t="shared" si="12"/>
        <v>750000</v>
      </c>
      <c r="X36" s="47">
        <f t="shared" si="12"/>
        <v>750000</v>
      </c>
      <c r="Y36" s="47">
        <f t="shared" si="12"/>
        <v>750000</v>
      </c>
      <c r="Z36" s="47">
        <f t="shared" si="12"/>
        <v>750000</v>
      </c>
      <c r="AA36" s="47">
        <f t="shared" si="12"/>
        <v>750000</v>
      </c>
      <c r="AB36" s="47">
        <f t="shared" si="12"/>
        <v>750000</v>
      </c>
      <c r="AC36" s="47">
        <f t="shared" si="12"/>
        <v>750000</v>
      </c>
    </row>
    <row r="37" ht="15.75" customHeight="1">
      <c r="A37" s="44" t="s">
        <v>94</v>
      </c>
      <c r="B37" s="23" t="s">
        <v>95</v>
      </c>
      <c r="C37" s="47">
        <f>1500*F30</f>
        <v>750000</v>
      </c>
      <c r="D37" s="46">
        <v>12.0</v>
      </c>
      <c r="E37" s="47">
        <f t="shared" si="7"/>
        <v>9000000</v>
      </c>
      <c r="F37" s="47">
        <f t="shared" si="9"/>
        <v>750000</v>
      </c>
      <c r="G37" s="47">
        <f t="shared" ref="G37:AC37" si="13">F37</f>
        <v>750000</v>
      </c>
      <c r="H37" s="47">
        <f t="shared" si="13"/>
        <v>750000</v>
      </c>
      <c r="I37" s="47">
        <f t="shared" si="13"/>
        <v>750000</v>
      </c>
      <c r="J37" s="47">
        <f t="shared" si="13"/>
        <v>750000</v>
      </c>
      <c r="K37" s="47">
        <f t="shared" si="13"/>
        <v>750000</v>
      </c>
      <c r="L37" s="47">
        <f t="shared" si="13"/>
        <v>750000</v>
      </c>
      <c r="M37" s="47">
        <f t="shared" si="13"/>
        <v>750000</v>
      </c>
      <c r="N37" s="47">
        <f t="shared" si="13"/>
        <v>750000</v>
      </c>
      <c r="O37" s="47">
        <f t="shared" si="13"/>
        <v>750000</v>
      </c>
      <c r="P37" s="47">
        <f t="shared" si="13"/>
        <v>750000</v>
      </c>
      <c r="Q37" s="47">
        <f t="shared" si="13"/>
        <v>750000</v>
      </c>
      <c r="R37" s="47">
        <f t="shared" si="13"/>
        <v>750000</v>
      </c>
      <c r="S37" s="47">
        <f t="shared" si="13"/>
        <v>750000</v>
      </c>
      <c r="T37" s="47">
        <f t="shared" si="13"/>
        <v>750000</v>
      </c>
      <c r="U37" s="47">
        <f t="shared" si="13"/>
        <v>750000</v>
      </c>
      <c r="V37" s="47">
        <f t="shared" si="13"/>
        <v>750000</v>
      </c>
      <c r="W37" s="47">
        <f t="shared" si="13"/>
        <v>750000</v>
      </c>
      <c r="X37" s="47">
        <f t="shared" si="13"/>
        <v>750000</v>
      </c>
      <c r="Y37" s="47">
        <f t="shared" si="13"/>
        <v>750000</v>
      </c>
      <c r="Z37" s="47">
        <f t="shared" si="13"/>
        <v>750000</v>
      </c>
      <c r="AA37" s="47">
        <f t="shared" si="13"/>
        <v>750000</v>
      </c>
      <c r="AB37" s="47">
        <f t="shared" si="13"/>
        <v>750000</v>
      </c>
      <c r="AC37" s="47">
        <f t="shared" si="13"/>
        <v>750000</v>
      </c>
    </row>
    <row r="38" ht="15.75" customHeight="1">
      <c r="A38" s="44" t="s">
        <v>96</v>
      </c>
      <c r="B38" s="23" t="s">
        <v>97</v>
      </c>
      <c r="C38" s="47">
        <f>1000*F30</f>
        <v>500000</v>
      </c>
      <c r="D38" s="46">
        <v>12.0</v>
      </c>
      <c r="E38" s="47">
        <f t="shared" si="7"/>
        <v>6000000</v>
      </c>
      <c r="F38" s="47">
        <f t="shared" si="9"/>
        <v>500000</v>
      </c>
      <c r="G38" s="47">
        <f t="shared" ref="G38:AC38" si="14">F38</f>
        <v>500000</v>
      </c>
      <c r="H38" s="47">
        <f t="shared" si="14"/>
        <v>500000</v>
      </c>
      <c r="I38" s="47">
        <f t="shared" si="14"/>
        <v>500000</v>
      </c>
      <c r="J38" s="47">
        <f t="shared" si="14"/>
        <v>500000</v>
      </c>
      <c r="K38" s="47">
        <f t="shared" si="14"/>
        <v>500000</v>
      </c>
      <c r="L38" s="47">
        <f t="shared" si="14"/>
        <v>500000</v>
      </c>
      <c r="M38" s="47">
        <f t="shared" si="14"/>
        <v>500000</v>
      </c>
      <c r="N38" s="47">
        <f t="shared" si="14"/>
        <v>500000</v>
      </c>
      <c r="O38" s="47">
        <f t="shared" si="14"/>
        <v>500000</v>
      </c>
      <c r="P38" s="47">
        <f t="shared" si="14"/>
        <v>500000</v>
      </c>
      <c r="Q38" s="47">
        <f t="shared" si="14"/>
        <v>500000</v>
      </c>
      <c r="R38" s="47">
        <f t="shared" si="14"/>
        <v>500000</v>
      </c>
      <c r="S38" s="47">
        <f t="shared" si="14"/>
        <v>500000</v>
      </c>
      <c r="T38" s="47">
        <f t="shared" si="14"/>
        <v>500000</v>
      </c>
      <c r="U38" s="47">
        <f t="shared" si="14"/>
        <v>500000</v>
      </c>
      <c r="V38" s="47">
        <f t="shared" si="14"/>
        <v>500000</v>
      </c>
      <c r="W38" s="47">
        <f t="shared" si="14"/>
        <v>500000</v>
      </c>
      <c r="X38" s="47">
        <f t="shared" si="14"/>
        <v>500000</v>
      </c>
      <c r="Y38" s="47">
        <f t="shared" si="14"/>
        <v>500000</v>
      </c>
      <c r="Z38" s="47">
        <f t="shared" si="14"/>
        <v>500000</v>
      </c>
      <c r="AA38" s="47">
        <f t="shared" si="14"/>
        <v>500000</v>
      </c>
      <c r="AB38" s="47">
        <f t="shared" si="14"/>
        <v>500000</v>
      </c>
      <c r="AC38" s="47">
        <f t="shared" si="14"/>
        <v>500000</v>
      </c>
    </row>
    <row r="39" ht="15.75" customHeight="1">
      <c r="A39" s="44" t="s">
        <v>98</v>
      </c>
      <c r="B39" s="23" t="s">
        <v>99</v>
      </c>
      <c r="C39" s="47">
        <f>1000*F30</f>
        <v>500000</v>
      </c>
      <c r="D39" s="46">
        <v>12.0</v>
      </c>
      <c r="E39" s="47">
        <f t="shared" si="7"/>
        <v>6000000</v>
      </c>
      <c r="F39" s="47">
        <f t="shared" si="9"/>
        <v>500000</v>
      </c>
      <c r="G39" s="47">
        <f t="shared" ref="G39:AC39" si="15">F39</f>
        <v>500000</v>
      </c>
      <c r="H39" s="47">
        <f t="shared" si="15"/>
        <v>500000</v>
      </c>
      <c r="I39" s="47">
        <f t="shared" si="15"/>
        <v>500000</v>
      </c>
      <c r="J39" s="47">
        <f t="shared" si="15"/>
        <v>500000</v>
      </c>
      <c r="K39" s="47">
        <f t="shared" si="15"/>
        <v>500000</v>
      </c>
      <c r="L39" s="47">
        <f t="shared" si="15"/>
        <v>500000</v>
      </c>
      <c r="M39" s="47">
        <f t="shared" si="15"/>
        <v>500000</v>
      </c>
      <c r="N39" s="47">
        <f t="shared" si="15"/>
        <v>500000</v>
      </c>
      <c r="O39" s="47">
        <f t="shared" si="15"/>
        <v>500000</v>
      </c>
      <c r="P39" s="47">
        <f t="shared" si="15"/>
        <v>500000</v>
      </c>
      <c r="Q39" s="47">
        <f t="shared" si="15"/>
        <v>500000</v>
      </c>
      <c r="R39" s="47">
        <f t="shared" si="15"/>
        <v>500000</v>
      </c>
      <c r="S39" s="47">
        <f t="shared" si="15"/>
        <v>500000</v>
      </c>
      <c r="T39" s="47">
        <f t="shared" si="15"/>
        <v>500000</v>
      </c>
      <c r="U39" s="47">
        <f t="shared" si="15"/>
        <v>500000</v>
      </c>
      <c r="V39" s="47">
        <f t="shared" si="15"/>
        <v>500000</v>
      </c>
      <c r="W39" s="47">
        <f t="shared" si="15"/>
        <v>500000</v>
      </c>
      <c r="X39" s="47">
        <f t="shared" si="15"/>
        <v>500000</v>
      </c>
      <c r="Y39" s="47">
        <f t="shared" si="15"/>
        <v>500000</v>
      </c>
      <c r="Z39" s="47">
        <f t="shared" si="15"/>
        <v>500000</v>
      </c>
      <c r="AA39" s="47">
        <f t="shared" si="15"/>
        <v>500000</v>
      </c>
      <c r="AB39" s="47">
        <f t="shared" si="15"/>
        <v>500000</v>
      </c>
      <c r="AC39" s="47">
        <f t="shared" si="15"/>
        <v>500000</v>
      </c>
    </row>
    <row r="40" ht="15.75" customHeight="1">
      <c r="A40" s="44" t="s">
        <v>100</v>
      </c>
      <c r="B40" s="23" t="s">
        <v>101</v>
      </c>
      <c r="C40" s="47">
        <f>1000*F30</f>
        <v>500000</v>
      </c>
      <c r="D40" s="46">
        <v>12.0</v>
      </c>
      <c r="E40" s="47">
        <f t="shared" si="7"/>
        <v>6000000</v>
      </c>
      <c r="F40" s="47">
        <f t="shared" si="9"/>
        <v>500000</v>
      </c>
      <c r="G40" s="47">
        <f t="shared" ref="G40:AC40" si="16">F40</f>
        <v>500000</v>
      </c>
      <c r="H40" s="47">
        <f t="shared" si="16"/>
        <v>500000</v>
      </c>
      <c r="I40" s="47">
        <f t="shared" si="16"/>
        <v>500000</v>
      </c>
      <c r="J40" s="47">
        <f t="shared" si="16"/>
        <v>500000</v>
      </c>
      <c r="K40" s="47">
        <f t="shared" si="16"/>
        <v>500000</v>
      </c>
      <c r="L40" s="47">
        <f t="shared" si="16"/>
        <v>500000</v>
      </c>
      <c r="M40" s="47">
        <f t="shared" si="16"/>
        <v>500000</v>
      </c>
      <c r="N40" s="47">
        <f t="shared" si="16"/>
        <v>500000</v>
      </c>
      <c r="O40" s="47">
        <f t="shared" si="16"/>
        <v>500000</v>
      </c>
      <c r="P40" s="47">
        <f t="shared" si="16"/>
        <v>500000</v>
      </c>
      <c r="Q40" s="47">
        <f t="shared" si="16"/>
        <v>500000</v>
      </c>
      <c r="R40" s="47">
        <f t="shared" si="16"/>
        <v>500000</v>
      </c>
      <c r="S40" s="47">
        <f t="shared" si="16"/>
        <v>500000</v>
      </c>
      <c r="T40" s="47">
        <f t="shared" si="16"/>
        <v>500000</v>
      </c>
      <c r="U40" s="47">
        <f t="shared" si="16"/>
        <v>500000</v>
      </c>
      <c r="V40" s="47">
        <f t="shared" si="16"/>
        <v>500000</v>
      </c>
      <c r="W40" s="47">
        <f t="shared" si="16"/>
        <v>500000</v>
      </c>
      <c r="X40" s="47">
        <f t="shared" si="16"/>
        <v>500000</v>
      </c>
      <c r="Y40" s="47">
        <f t="shared" si="16"/>
        <v>500000</v>
      </c>
      <c r="Z40" s="47">
        <f t="shared" si="16"/>
        <v>500000</v>
      </c>
      <c r="AA40" s="47">
        <f t="shared" si="16"/>
        <v>500000</v>
      </c>
      <c r="AB40" s="47">
        <f t="shared" si="16"/>
        <v>500000</v>
      </c>
      <c r="AC40" s="47">
        <f t="shared" si="16"/>
        <v>500000</v>
      </c>
    </row>
    <row r="41" ht="15.75" customHeight="1">
      <c r="A41" s="44" t="s">
        <v>46</v>
      </c>
      <c r="B41" s="30" t="s">
        <v>102</v>
      </c>
      <c r="C41" s="45">
        <f>C42</f>
        <v>1098550</v>
      </c>
      <c r="D41" s="46">
        <v>12.0</v>
      </c>
      <c r="E41" s="45">
        <f t="shared" si="7"/>
        <v>13182600</v>
      </c>
      <c r="F41" s="45">
        <f t="shared" ref="F41:AC41" si="17">F42</f>
        <v>1098550</v>
      </c>
      <c r="G41" s="45">
        <f t="shared" si="17"/>
        <v>1098550</v>
      </c>
      <c r="H41" s="45">
        <f t="shared" si="17"/>
        <v>1098550</v>
      </c>
      <c r="I41" s="45">
        <f t="shared" si="17"/>
        <v>1098550</v>
      </c>
      <c r="J41" s="45">
        <f t="shared" si="17"/>
        <v>1098550</v>
      </c>
      <c r="K41" s="45">
        <f t="shared" si="17"/>
        <v>1098550</v>
      </c>
      <c r="L41" s="45">
        <f t="shared" si="17"/>
        <v>1098550</v>
      </c>
      <c r="M41" s="45">
        <f t="shared" si="17"/>
        <v>1098550</v>
      </c>
      <c r="N41" s="45">
        <f t="shared" si="17"/>
        <v>1098550</v>
      </c>
      <c r="O41" s="45">
        <f t="shared" si="17"/>
        <v>1098550</v>
      </c>
      <c r="P41" s="45">
        <f t="shared" si="17"/>
        <v>1098550</v>
      </c>
      <c r="Q41" s="45">
        <f t="shared" si="17"/>
        <v>1098550</v>
      </c>
      <c r="R41" s="45">
        <f t="shared" si="17"/>
        <v>1098550</v>
      </c>
      <c r="S41" s="45">
        <f t="shared" si="17"/>
        <v>1098550</v>
      </c>
      <c r="T41" s="45">
        <f t="shared" si="17"/>
        <v>1098550</v>
      </c>
      <c r="U41" s="45">
        <f t="shared" si="17"/>
        <v>1098550</v>
      </c>
      <c r="V41" s="45">
        <f t="shared" si="17"/>
        <v>1098550</v>
      </c>
      <c r="W41" s="45">
        <f t="shared" si="17"/>
        <v>1098550</v>
      </c>
      <c r="X41" s="45">
        <f t="shared" si="17"/>
        <v>1098550</v>
      </c>
      <c r="Y41" s="45">
        <f t="shared" si="17"/>
        <v>1098550</v>
      </c>
      <c r="Z41" s="45">
        <f t="shared" si="17"/>
        <v>1098550</v>
      </c>
      <c r="AA41" s="45">
        <f t="shared" si="17"/>
        <v>1098550</v>
      </c>
      <c r="AB41" s="45">
        <f t="shared" si="17"/>
        <v>1098550</v>
      </c>
      <c r="AC41" s="45">
        <f t="shared" si="17"/>
        <v>1098550</v>
      </c>
    </row>
    <row r="42" ht="15.75" customHeight="1">
      <c r="A42" s="44"/>
      <c r="B42" s="30" t="s">
        <v>103</v>
      </c>
      <c r="C42" s="45">
        <f>C43+C44+C45+C46+C48</f>
        <v>1098550</v>
      </c>
      <c r="D42" s="46">
        <v>12.0</v>
      </c>
      <c r="E42" s="45">
        <f t="shared" ref="E42:AC42" si="18">E43+E44+E45+E46+E48</f>
        <v>13182600</v>
      </c>
      <c r="F42" s="45">
        <f t="shared" si="18"/>
        <v>1098550</v>
      </c>
      <c r="G42" s="45">
        <f t="shared" si="18"/>
        <v>1098550</v>
      </c>
      <c r="H42" s="45">
        <f t="shared" si="18"/>
        <v>1098550</v>
      </c>
      <c r="I42" s="45">
        <f t="shared" si="18"/>
        <v>1098550</v>
      </c>
      <c r="J42" s="45">
        <f t="shared" si="18"/>
        <v>1098550</v>
      </c>
      <c r="K42" s="45">
        <f t="shared" si="18"/>
        <v>1098550</v>
      </c>
      <c r="L42" s="45">
        <f t="shared" si="18"/>
        <v>1098550</v>
      </c>
      <c r="M42" s="45">
        <f t="shared" si="18"/>
        <v>1098550</v>
      </c>
      <c r="N42" s="45">
        <f t="shared" si="18"/>
        <v>1098550</v>
      </c>
      <c r="O42" s="45">
        <f t="shared" si="18"/>
        <v>1098550</v>
      </c>
      <c r="P42" s="45">
        <f t="shared" si="18"/>
        <v>1098550</v>
      </c>
      <c r="Q42" s="45">
        <f t="shared" si="18"/>
        <v>1098550</v>
      </c>
      <c r="R42" s="45">
        <f t="shared" si="18"/>
        <v>1098550</v>
      </c>
      <c r="S42" s="45">
        <f t="shared" si="18"/>
        <v>1098550</v>
      </c>
      <c r="T42" s="45">
        <f t="shared" si="18"/>
        <v>1098550</v>
      </c>
      <c r="U42" s="45">
        <f t="shared" si="18"/>
        <v>1098550</v>
      </c>
      <c r="V42" s="45">
        <f t="shared" si="18"/>
        <v>1098550</v>
      </c>
      <c r="W42" s="45">
        <f t="shared" si="18"/>
        <v>1098550</v>
      </c>
      <c r="X42" s="45">
        <f t="shared" si="18"/>
        <v>1098550</v>
      </c>
      <c r="Y42" s="45">
        <f t="shared" si="18"/>
        <v>1098550</v>
      </c>
      <c r="Z42" s="45">
        <f t="shared" si="18"/>
        <v>1098550</v>
      </c>
      <c r="AA42" s="45">
        <f t="shared" si="18"/>
        <v>1098550</v>
      </c>
      <c r="AB42" s="45">
        <f t="shared" si="18"/>
        <v>1098550</v>
      </c>
      <c r="AC42" s="45">
        <f t="shared" si="18"/>
        <v>1098550</v>
      </c>
    </row>
    <row r="43" ht="15.75" customHeight="1">
      <c r="A43" s="44"/>
      <c r="B43" s="23" t="s">
        <v>104</v>
      </c>
      <c r="C43" s="47">
        <f>C32*0.1</f>
        <v>525000</v>
      </c>
      <c r="D43" s="46">
        <v>12.0</v>
      </c>
      <c r="E43" s="47">
        <f t="shared" ref="E43:E49" si="20">C43*D43</f>
        <v>6300000</v>
      </c>
      <c r="F43" s="47">
        <f t="shared" ref="F43:F49" si="21">C43</f>
        <v>525000</v>
      </c>
      <c r="G43" s="47">
        <f t="shared" ref="G43:AC43" si="19">F43</f>
        <v>525000</v>
      </c>
      <c r="H43" s="47">
        <f t="shared" si="19"/>
        <v>525000</v>
      </c>
      <c r="I43" s="47">
        <f t="shared" si="19"/>
        <v>525000</v>
      </c>
      <c r="J43" s="47">
        <f t="shared" si="19"/>
        <v>525000</v>
      </c>
      <c r="K43" s="47">
        <f t="shared" si="19"/>
        <v>525000</v>
      </c>
      <c r="L43" s="47">
        <f t="shared" si="19"/>
        <v>525000</v>
      </c>
      <c r="M43" s="47">
        <f t="shared" si="19"/>
        <v>525000</v>
      </c>
      <c r="N43" s="47">
        <f t="shared" si="19"/>
        <v>525000</v>
      </c>
      <c r="O43" s="47">
        <f t="shared" si="19"/>
        <v>525000</v>
      </c>
      <c r="P43" s="47">
        <f t="shared" si="19"/>
        <v>525000</v>
      </c>
      <c r="Q43" s="47">
        <f t="shared" si="19"/>
        <v>525000</v>
      </c>
      <c r="R43" s="47">
        <f t="shared" si="19"/>
        <v>525000</v>
      </c>
      <c r="S43" s="47">
        <f t="shared" si="19"/>
        <v>525000</v>
      </c>
      <c r="T43" s="47">
        <f t="shared" si="19"/>
        <v>525000</v>
      </c>
      <c r="U43" s="47">
        <f t="shared" si="19"/>
        <v>525000</v>
      </c>
      <c r="V43" s="47">
        <f t="shared" si="19"/>
        <v>525000</v>
      </c>
      <c r="W43" s="47">
        <f t="shared" si="19"/>
        <v>525000</v>
      </c>
      <c r="X43" s="47">
        <f t="shared" si="19"/>
        <v>525000</v>
      </c>
      <c r="Y43" s="47">
        <f t="shared" si="19"/>
        <v>525000</v>
      </c>
      <c r="Z43" s="47">
        <f t="shared" si="19"/>
        <v>525000</v>
      </c>
      <c r="AA43" s="47">
        <f t="shared" si="19"/>
        <v>525000</v>
      </c>
      <c r="AB43" s="47">
        <f t="shared" si="19"/>
        <v>525000</v>
      </c>
      <c r="AC43" s="47">
        <f t="shared" si="19"/>
        <v>525000</v>
      </c>
    </row>
    <row r="44" ht="15.75" customHeight="1">
      <c r="A44" s="44"/>
      <c r="B44" s="23" t="s">
        <v>105</v>
      </c>
      <c r="C44" s="47">
        <f>(C32-C43)*0.05</f>
        <v>236250</v>
      </c>
      <c r="D44" s="46">
        <v>12.0</v>
      </c>
      <c r="E44" s="47">
        <f t="shared" si="20"/>
        <v>2835000</v>
      </c>
      <c r="F44" s="47">
        <f t="shared" si="21"/>
        <v>236250</v>
      </c>
      <c r="G44" s="47">
        <f t="shared" ref="G44:AC44" si="22">F44</f>
        <v>236250</v>
      </c>
      <c r="H44" s="47">
        <f t="shared" si="22"/>
        <v>236250</v>
      </c>
      <c r="I44" s="47">
        <f t="shared" si="22"/>
        <v>236250</v>
      </c>
      <c r="J44" s="47">
        <f t="shared" si="22"/>
        <v>236250</v>
      </c>
      <c r="K44" s="47">
        <f t="shared" si="22"/>
        <v>236250</v>
      </c>
      <c r="L44" s="47">
        <f t="shared" si="22"/>
        <v>236250</v>
      </c>
      <c r="M44" s="47">
        <f t="shared" si="22"/>
        <v>236250</v>
      </c>
      <c r="N44" s="47">
        <f t="shared" si="22"/>
        <v>236250</v>
      </c>
      <c r="O44" s="47">
        <f t="shared" si="22"/>
        <v>236250</v>
      </c>
      <c r="P44" s="47">
        <f t="shared" si="22"/>
        <v>236250</v>
      </c>
      <c r="Q44" s="47">
        <f t="shared" si="22"/>
        <v>236250</v>
      </c>
      <c r="R44" s="47">
        <f t="shared" si="22"/>
        <v>236250</v>
      </c>
      <c r="S44" s="47">
        <f t="shared" si="22"/>
        <v>236250</v>
      </c>
      <c r="T44" s="47">
        <f t="shared" si="22"/>
        <v>236250</v>
      </c>
      <c r="U44" s="47">
        <f t="shared" si="22"/>
        <v>236250</v>
      </c>
      <c r="V44" s="47">
        <f t="shared" si="22"/>
        <v>236250</v>
      </c>
      <c r="W44" s="47">
        <f t="shared" si="22"/>
        <v>236250</v>
      </c>
      <c r="X44" s="47">
        <f t="shared" si="22"/>
        <v>236250</v>
      </c>
      <c r="Y44" s="47">
        <f t="shared" si="22"/>
        <v>236250</v>
      </c>
      <c r="Z44" s="47">
        <f t="shared" si="22"/>
        <v>236250</v>
      </c>
      <c r="AA44" s="47">
        <f t="shared" si="22"/>
        <v>236250</v>
      </c>
      <c r="AB44" s="47">
        <f t="shared" si="22"/>
        <v>236250</v>
      </c>
      <c r="AC44" s="47">
        <f t="shared" si="22"/>
        <v>236250</v>
      </c>
    </row>
    <row r="45" ht="15.75" customHeight="1">
      <c r="A45" s="44"/>
      <c r="B45" s="23" t="s">
        <v>106</v>
      </c>
      <c r="C45" s="47">
        <f>C32*0.02</f>
        <v>105000</v>
      </c>
      <c r="D45" s="46">
        <v>12.0</v>
      </c>
      <c r="E45" s="47">
        <f t="shared" si="20"/>
        <v>1260000</v>
      </c>
      <c r="F45" s="47">
        <f t="shared" si="21"/>
        <v>105000</v>
      </c>
      <c r="G45" s="47">
        <f t="shared" ref="G45:H45" si="23">F45</f>
        <v>105000</v>
      </c>
      <c r="H45" s="47">
        <f t="shared" si="23"/>
        <v>105000</v>
      </c>
      <c r="I45" s="47">
        <f t="shared" ref="I45:AC45" si="24">F45</f>
        <v>105000</v>
      </c>
      <c r="J45" s="47">
        <f t="shared" si="24"/>
        <v>105000</v>
      </c>
      <c r="K45" s="47">
        <f t="shared" si="24"/>
        <v>105000</v>
      </c>
      <c r="L45" s="47">
        <f t="shared" si="24"/>
        <v>105000</v>
      </c>
      <c r="M45" s="47">
        <f t="shared" si="24"/>
        <v>105000</v>
      </c>
      <c r="N45" s="47">
        <f t="shared" si="24"/>
        <v>105000</v>
      </c>
      <c r="O45" s="47">
        <f t="shared" si="24"/>
        <v>105000</v>
      </c>
      <c r="P45" s="47">
        <f t="shared" si="24"/>
        <v>105000</v>
      </c>
      <c r="Q45" s="47">
        <f t="shared" si="24"/>
        <v>105000</v>
      </c>
      <c r="R45" s="47">
        <f t="shared" si="24"/>
        <v>105000</v>
      </c>
      <c r="S45" s="47">
        <f t="shared" si="24"/>
        <v>105000</v>
      </c>
      <c r="T45" s="47">
        <f t="shared" si="24"/>
        <v>105000</v>
      </c>
      <c r="U45" s="47">
        <f t="shared" si="24"/>
        <v>105000</v>
      </c>
      <c r="V45" s="47">
        <f t="shared" si="24"/>
        <v>105000</v>
      </c>
      <c r="W45" s="47">
        <f t="shared" si="24"/>
        <v>105000</v>
      </c>
      <c r="X45" s="47">
        <f t="shared" si="24"/>
        <v>105000</v>
      </c>
      <c r="Y45" s="47">
        <f t="shared" si="24"/>
        <v>105000</v>
      </c>
      <c r="Z45" s="47">
        <f t="shared" si="24"/>
        <v>105000</v>
      </c>
      <c r="AA45" s="47">
        <f t="shared" si="24"/>
        <v>105000</v>
      </c>
      <c r="AB45" s="47">
        <f t="shared" si="24"/>
        <v>105000</v>
      </c>
      <c r="AC45" s="47">
        <f t="shared" si="24"/>
        <v>105000</v>
      </c>
    </row>
    <row r="46" ht="15.75" customHeight="1">
      <c r="A46" s="44"/>
      <c r="B46" s="23" t="s">
        <v>107</v>
      </c>
      <c r="C46" s="47">
        <f>C32*0.03</f>
        <v>157500</v>
      </c>
      <c r="D46" s="46">
        <v>12.0</v>
      </c>
      <c r="E46" s="47">
        <f t="shared" si="20"/>
        <v>1890000</v>
      </c>
      <c r="F46" s="47">
        <f t="shared" si="21"/>
        <v>157500</v>
      </c>
      <c r="G46" s="47">
        <f t="shared" ref="G46:AC46" si="25">F46</f>
        <v>157500</v>
      </c>
      <c r="H46" s="47">
        <f t="shared" si="25"/>
        <v>157500</v>
      </c>
      <c r="I46" s="47">
        <f t="shared" si="25"/>
        <v>157500</v>
      </c>
      <c r="J46" s="47">
        <f t="shared" si="25"/>
        <v>157500</v>
      </c>
      <c r="K46" s="47">
        <f t="shared" si="25"/>
        <v>157500</v>
      </c>
      <c r="L46" s="47">
        <f t="shared" si="25"/>
        <v>157500</v>
      </c>
      <c r="M46" s="47">
        <f t="shared" si="25"/>
        <v>157500</v>
      </c>
      <c r="N46" s="47">
        <f t="shared" si="25"/>
        <v>157500</v>
      </c>
      <c r="O46" s="47">
        <f t="shared" si="25"/>
        <v>157500</v>
      </c>
      <c r="P46" s="47">
        <f t="shared" si="25"/>
        <v>157500</v>
      </c>
      <c r="Q46" s="47">
        <f t="shared" si="25"/>
        <v>157500</v>
      </c>
      <c r="R46" s="47">
        <f t="shared" si="25"/>
        <v>157500</v>
      </c>
      <c r="S46" s="47">
        <f t="shared" si="25"/>
        <v>157500</v>
      </c>
      <c r="T46" s="47">
        <f t="shared" si="25"/>
        <v>157500</v>
      </c>
      <c r="U46" s="47">
        <f t="shared" si="25"/>
        <v>157500</v>
      </c>
      <c r="V46" s="47">
        <f t="shared" si="25"/>
        <v>157500</v>
      </c>
      <c r="W46" s="47">
        <f t="shared" si="25"/>
        <v>157500</v>
      </c>
      <c r="X46" s="47">
        <f t="shared" si="25"/>
        <v>157500</v>
      </c>
      <c r="Y46" s="47">
        <f t="shared" si="25"/>
        <v>157500</v>
      </c>
      <c r="Z46" s="47">
        <f t="shared" si="25"/>
        <v>157500</v>
      </c>
      <c r="AA46" s="47">
        <f t="shared" si="25"/>
        <v>157500</v>
      </c>
      <c r="AB46" s="47">
        <f t="shared" si="25"/>
        <v>157500</v>
      </c>
      <c r="AC46" s="47">
        <f t="shared" si="25"/>
        <v>157500</v>
      </c>
    </row>
    <row r="47" ht="15.75" customHeight="1">
      <c r="A47" s="44"/>
      <c r="B47" s="48" t="s">
        <v>108</v>
      </c>
      <c r="C47" s="49">
        <f>0.1*(C33-C43/9-C45/9)</f>
        <v>68000</v>
      </c>
      <c r="D47" s="46">
        <v>12.0</v>
      </c>
      <c r="E47" s="49">
        <f t="shared" si="20"/>
        <v>816000</v>
      </c>
      <c r="F47" s="49">
        <f t="shared" si="21"/>
        <v>68000</v>
      </c>
      <c r="G47" s="49">
        <f t="shared" ref="G47:AC47" si="26">F47</f>
        <v>68000</v>
      </c>
      <c r="H47" s="49">
        <f t="shared" si="26"/>
        <v>68000</v>
      </c>
      <c r="I47" s="49">
        <f t="shared" si="26"/>
        <v>68000</v>
      </c>
      <c r="J47" s="49">
        <f t="shared" si="26"/>
        <v>68000</v>
      </c>
      <c r="K47" s="49">
        <f t="shared" si="26"/>
        <v>68000</v>
      </c>
      <c r="L47" s="49">
        <f t="shared" si="26"/>
        <v>68000</v>
      </c>
      <c r="M47" s="49">
        <f t="shared" si="26"/>
        <v>68000</v>
      </c>
      <c r="N47" s="49">
        <f t="shared" si="26"/>
        <v>68000</v>
      </c>
      <c r="O47" s="49">
        <f t="shared" si="26"/>
        <v>68000</v>
      </c>
      <c r="P47" s="49">
        <f t="shared" si="26"/>
        <v>68000</v>
      </c>
      <c r="Q47" s="49">
        <f t="shared" si="26"/>
        <v>68000</v>
      </c>
      <c r="R47" s="49">
        <f t="shared" si="26"/>
        <v>68000</v>
      </c>
      <c r="S47" s="49">
        <f t="shared" si="26"/>
        <v>68000</v>
      </c>
      <c r="T47" s="49">
        <f t="shared" si="26"/>
        <v>68000</v>
      </c>
      <c r="U47" s="49">
        <f t="shared" si="26"/>
        <v>68000</v>
      </c>
      <c r="V47" s="49">
        <f t="shared" si="26"/>
        <v>68000</v>
      </c>
      <c r="W47" s="49">
        <f t="shared" si="26"/>
        <v>68000</v>
      </c>
      <c r="X47" s="49">
        <f t="shared" si="26"/>
        <v>68000</v>
      </c>
      <c r="Y47" s="49">
        <f t="shared" si="26"/>
        <v>68000</v>
      </c>
      <c r="Z47" s="49">
        <f t="shared" si="26"/>
        <v>68000</v>
      </c>
      <c r="AA47" s="49">
        <f t="shared" si="26"/>
        <v>68000</v>
      </c>
      <c r="AB47" s="49">
        <f t="shared" si="26"/>
        <v>68000</v>
      </c>
      <c r="AC47" s="49">
        <f t="shared" si="26"/>
        <v>68000</v>
      </c>
    </row>
    <row r="48" ht="15.75" customHeight="1">
      <c r="A48" s="44"/>
      <c r="B48" s="23" t="s">
        <v>109</v>
      </c>
      <c r="C48" s="47">
        <f>(C33-(C43/9)-(C45/9))*0.11</f>
        <v>74800</v>
      </c>
      <c r="D48" s="46">
        <v>12.0</v>
      </c>
      <c r="E48" s="47">
        <f t="shared" si="20"/>
        <v>897600</v>
      </c>
      <c r="F48" s="47">
        <f t="shared" si="21"/>
        <v>74800</v>
      </c>
      <c r="G48" s="47">
        <f t="shared" ref="G48:AC48" si="27">F48</f>
        <v>74800</v>
      </c>
      <c r="H48" s="47">
        <f t="shared" si="27"/>
        <v>74800</v>
      </c>
      <c r="I48" s="47">
        <f t="shared" si="27"/>
        <v>74800</v>
      </c>
      <c r="J48" s="47">
        <f t="shared" si="27"/>
        <v>74800</v>
      </c>
      <c r="K48" s="47">
        <f t="shared" si="27"/>
        <v>74800</v>
      </c>
      <c r="L48" s="47">
        <f t="shared" si="27"/>
        <v>74800</v>
      </c>
      <c r="M48" s="47">
        <f t="shared" si="27"/>
        <v>74800</v>
      </c>
      <c r="N48" s="47">
        <f t="shared" si="27"/>
        <v>74800</v>
      </c>
      <c r="O48" s="47">
        <f t="shared" si="27"/>
        <v>74800</v>
      </c>
      <c r="P48" s="47">
        <f t="shared" si="27"/>
        <v>74800</v>
      </c>
      <c r="Q48" s="47">
        <f t="shared" si="27"/>
        <v>74800</v>
      </c>
      <c r="R48" s="47">
        <f t="shared" si="27"/>
        <v>74800</v>
      </c>
      <c r="S48" s="47">
        <f t="shared" si="27"/>
        <v>74800</v>
      </c>
      <c r="T48" s="47">
        <f t="shared" si="27"/>
        <v>74800</v>
      </c>
      <c r="U48" s="47">
        <f t="shared" si="27"/>
        <v>74800</v>
      </c>
      <c r="V48" s="47">
        <f t="shared" si="27"/>
        <v>74800</v>
      </c>
      <c r="W48" s="47">
        <f t="shared" si="27"/>
        <v>74800</v>
      </c>
      <c r="X48" s="47">
        <f t="shared" si="27"/>
        <v>74800</v>
      </c>
      <c r="Y48" s="47">
        <f t="shared" si="27"/>
        <v>74800</v>
      </c>
      <c r="Z48" s="47">
        <f t="shared" si="27"/>
        <v>74800</v>
      </c>
      <c r="AA48" s="47">
        <f t="shared" si="27"/>
        <v>74800</v>
      </c>
      <c r="AB48" s="47">
        <f t="shared" si="27"/>
        <v>74800</v>
      </c>
      <c r="AC48" s="47">
        <f t="shared" si="27"/>
        <v>74800</v>
      </c>
    </row>
    <row r="49" ht="15.75" customHeight="1">
      <c r="A49" s="44" t="s">
        <v>48</v>
      </c>
      <c r="B49" s="30" t="s">
        <v>110</v>
      </c>
      <c r="C49" s="45">
        <f>230*F30</f>
        <v>115000</v>
      </c>
      <c r="D49" s="46">
        <v>12.0</v>
      </c>
      <c r="E49" s="47">
        <f t="shared" si="20"/>
        <v>1380000</v>
      </c>
      <c r="F49" s="47">
        <f t="shared" si="21"/>
        <v>115000</v>
      </c>
      <c r="G49" s="47">
        <f t="shared" ref="G49:AC49" si="28">F49</f>
        <v>115000</v>
      </c>
      <c r="H49" s="47">
        <f t="shared" si="28"/>
        <v>115000</v>
      </c>
      <c r="I49" s="47">
        <f t="shared" si="28"/>
        <v>115000</v>
      </c>
      <c r="J49" s="47">
        <f t="shared" si="28"/>
        <v>115000</v>
      </c>
      <c r="K49" s="47">
        <f t="shared" si="28"/>
        <v>115000</v>
      </c>
      <c r="L49" s="47">
        <f t="shared" si="28"/>
        <v>115000</v>
      </c>
      <c r="M49" s="47">
        <f t="shared" si="28"/>
        <v>115000</v>
      </c>
      <c r="N49" s="47">
        <f t="shared" si="28"/>
        <v>115000</v>
      </c>
      <c r="O49" s="47">
        <f t="shared" si="28"/>
        <v>115000</v>
      </c>
      <c r="P49" s="47">
        <f t="shared" si="28"/>
        <v>115000</v>
      </c>
      <c r="Q49" s="47">
        <f t="shared" si="28"/>
        <v>115000</v>
      </c>
      <c r="R49" s="47">
        <f t="shared" si="28"/>
        <v>115000</v>
      </c>
      <c r="S49" s="47">
        <f t="shared" si="28"/>
        <v>115000</v>
      </c>
      <c r="T49" s="47">
        <f t="shared" si="28"/>
        <v>115000</v>
      </c>
      <c r="U49" s="47">
        <f t="shared" si="28"/>
        <v>115000</v>
      </c>
      <c r="V49" s="47">
        <f t="shared" si="28"/>
        <v>115000</v>
      </c>
      <c r="W49" s="47">
        <f t="shared" si="28"/>
        <v>115000</v>
      </c>
      <c r="X49" s="47">
        <f t="shared" si="28"/>
        <v>115000</v>
      </c>
      <c r="Y49" s="47">
        <f t="shared" si="28"/>
        <v>115000</v>
      </c>
      <c r="Z49" s="47">
        <f t="shared" si="28"/>
        <v>115000</v>
      </c>
      <c r="AA49" s="47">
        <f t="shared" si="28"/>
        <v>115000</v>
      </c>
      <c r="AB49" s="47">
        <f t="shared" si="28"/>
        <v>115000</v>
      </c>
      <c r="AC49" s="47">
        <f t="shared" si="28"/>
        <v>115000</v>
      </c>
    </row>
    <row r="50" ht="15.75" customHeight="1">
      <c r="A50" s="44" t="s">
        <v>111</v>
      </c>
      <c r="B50" s="30" t="s">
        <v>112</v>
      </c>
      <c r="D50" s="46"/>
      <c r="E50" s="45">
        <f>50000*F30</f>
        <v>25000000</v>
      </c>
      <c r="F50" s="46"/>
      <c r="G50" s="47"/>
      <c r="H50" s="47"/>
      <c r="I50" s="47"/>
      <c r="J50" s="47"/>
      <c r="K50" s="47"/>
      <c r="L50" s="47"/>
      <c r="M50" s="47"/>
      <c r="N50" s="47"/>
      <c r="O50" s="47"/>
      <c r="P50" s="47">
        <f>E50/2</f>
        <v>12500000</v>
      </c>
      <c r="Q50" s="47">
        <f>P50</f>
        <v>12500000</v>
      </c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</row>
    <row r="51" ht="15.75" customHeight="1">
      <c r="A51" s="44" t="s">
        <v>52</v>
      </c>
      <c r="B51" s="23" t="s">
        <v>113</v>
      </c>
      <c r="C51" s="45">
        <f>C41+C49+C32</f>
        <v>6463550</v>
      </c>
      <c r="D51" s="45"/>
      <c r="E51" s="45">
        <f t="shared" ref="E51:AC51" si="29">E41+E49+E32+E50</f>
        <v>102562600</v>
      </c>
      <c r="F51" s="45">
        <f t="shared" si="29"/>
        <v>6463550</v>
      </c>
      <c r="G51" s="45">
        <f t="shared" si="29"/>
        <v>6463550</v>
      </c>
      <c r="H51" s="45">
        <f t="shared" si="29"/>
        <v>6463550</v>
      </c>
      <c r="I51" s="45">
        <f t="shared" si="29"/>
        <v>6463550</v>
      </c>
      <c r="J51" s="45">
        <f t="shared" si="29"/>
        <v>6463550</v>
      </c>
      <c r="K51" s="45">
        <f t="shared" si="29"/>
        <v>6463550</v>
      </c>
      <c r="L51" s="45">
        <f t="shared" si="29"/>
        <v>6463550</v>
      </c>
      <c r="M51" s="45">
        <f t="shared" si="29"/>
        <v>6463550</v>
      </c>
      <c r="N51" s="45">
        <f t="shared" si="29"/>
        <v>6463550</v>
      </c>
      <c r="O51" s="45">
        <f t="shared" si="29"/>
        <v>6463550</v>
      </c>
      <c r="P51" s="45">
        <f t="shared" si="29"/>
        <v>18963550</v>
      </c>
      <c r="Q51" s="45">
        <f t="shared" si="29"/>
        <v>18963550</v>
      </c>
      <c r="R51" s="45">
        <f t="shared" si="29"/>
        <v>6463550</v>
      </c>
      <c r="S51" s="45">
        <f t="shared" si="29"/>
        <v>6463550</v>
      </c>
      <c r="T51" s="45">
        <f t="shared" si="29"/>
        <v>6463550</v>
      </c>
      <c r="U51" s="45">
        <f t="shared" si="29"/>
        <v>6463550</v>
      </c>
      <c r="V51" s="45">
        <f t="shared" si="29"/>
        <v>6463550</v>
      </c>
      <c r="W51" s="45">
        <f t="shared" si="29"/>
        <v>6463550</v>
      </c>
      <c r="X51" s="45">
        <f t="shared" si="29"/>
        <v>6463550</v>
      </c>
      <c r="Y51" s="45">
        <f t="shared" si="29"/>
        <v>6463550</v>
      </c>
      <c r="Z51" s="45">
        <f t="shared" si="29"/>
        <v>6463550</v>
      </c>
      <c r="AA51" s="45">
        <f t="shared" si="29"/>
        <v>6463550</v>
      </c>
      <c r="AB51" s="45">
        <f t="shared" si="29"/>
        <v>6463550</v>
      </c>
      <c r="AC51" s="45">
        <f t="shared" si="29"/>
        <v>6463550</v>
      </c>
    </row>
    <row r="52" ht="15.75" customHeight="1">
      <c r="A52" s="44" t="s">
        <v>114</v>
      </c>
      <c r="B52" s="50" t="s">
        <v>115</v>
      </c>
      <c r="C52" s="27">
        <f>C51/F30</f>
        <v>12927.1</v>
      </c>
      <c r="D52" s="27"/>
      <c r="E52" s="27">
        <f>E51/F30</f>
        <v>205125.2</v>
      </c>
      <c r="F52" s="27">
        <f t="shared" ref="F52:AC52" si="30">F51/$F$30</f>
        <v>12927.1</v>
      </c>
      <c r="G52" s="27">
        <f t="shared" si="30"/>
        <v>12927.1</v>
      </c>
      <c r="H52" s="27">
        <f t="shared" si="30"/>
        <v>12927.1</v>
      </c>
      <c r="I52" s="27">
        <f t="shared" si="30"/>
        <v>12927.1</v>
      </c>
      <c r="J52" s="27">
        <f t="shared" si="30"/>
        <v>12927.1</v>
      </c>
      <c r="K52" s="27">
        <f t="shared" si="30"/>
        <v>12927.1</v>
      </c>
      <c r="L52" s="27">
        <f t="shared" si="30"/>
        <v>12927.1</v>
      </c>
      <c r="M52" s="27">
        <f t="shared" si="30"/>
        <v>12927.1</v>
      </c>
      <c r="N52" s="27">
        <f t="shared" si="30"/>
        <v>12927.1</v>
      </c>
      <c r="O52" s="27">
        <f t="shared" si="30"/>
        <v>12927.1</v>
      </c>
      <c r="P52" s="27">
        <f t="shared" si="30"/>
        <v>37927.1</v>
      </c>
      <c r="Q52" s="27">
        <f t="shared" si="30"/>
        <v>37927.1</v>
      </c>
      <c r="R52" s="27">
        <f t="shared" si="30"/>
        <v>12927.1</v>
      </c>
      <c r="S52" s="27">
        <f t="shared" si="30"/>
        <v>12927.1</v>
      </c>
      <c r="T52" s="27">
        <f t="shared" si="30"/>
        <v>12927.1</v>
      </c>
      <c r="U52" s="27">
        <f t="shared" si="30"/>
        <v>12927.1</v>
      </c>
      <c r="V52" s="27">
        <f t="shared" si="30"/>
        <v>12927.1</v>
      </c>
      <c r="W52" s="27">
        <f t="shared" si="30"/>
        <v>12927.1</v>
      </c>
      <c r="X52" s="27">
        <f t="shared" si="30"/>
        <v>12927.1</v>
      </c>
      <c r="Y52" s="27">
        <f t="shared" si="30"/>
        <v>12927.1</v>
      </c>
      <c r="Z52" s="27">
        <f t="shared" si="30"/>
        <v>12927.1</v>
      </c>
      <c r="AA52" s="27">
        <f t="shared" si="30"/>
        <v>12927.1</v>
      </c>
      <c r="AB52" s="27">
        <f t="shared" si="30"/>
        <v>12927.1</v>
      </c>
      <c r="AC52" s="27">
        <f t="shared" si="30"/>
        <v>12927.1</v>
      </c>
    </row>
    <row r="53" ht="15.75" customHeight="1">
      <c r="D53" s="5"/>
      <c r="E53" s="51"/>
      <c r="F53" s="5"/>
    </row>
    <row r="54" ht="15.75" customHeight="1">
      <c r="B54" s="1" t="s">
        <v>116</v>
      </c>
      <c r="D54" s="5"/>
      <c r="E54" s="51"/>
      <c r="F54" s="5"/>
    </row>
    <row r="55" ht="15.75" customHeight="1"/>
    <row r="56" ht="15.75" customHeight="1">
      <c r="B56" s="30" t="s">
        <v>117</v>
      </c>
      <c r="C56" s="52" t="s">
        <v>118</v>
      </c>
      <c r="D56" s="53"/>
      <c r="E56" s="52" t="s">
        <v>119</v>
      </c>
      <c r="F56" s="53"/>
    </row>
    <row r="57" ht="15.75" customHeight="1">
      <c r="B57" s="54"/>
      <c r="C57" s="55" t="s">
        <v>120</v>
      </c>
      <c r="D57" s="54" t="s">
        <v>121</v>
      </c>
      <c r="E57" s="55" t="s">
        <v>120</v>
      </c>
      <c r="F57" s="54" t="s">
        <v>121</v>
      </c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</row>
    <row r="58" ht="15.75" customHeight="1">
      <c r="B58" s="30" t="s">
        <v>122</v>
      </c>
      <c r="C58" s="24">
        <f t="shared" ref="C58:F58" si="31">C59</f>
        <v>0</v>
      </c>
      <c r="D58" s="24">
        <f t="shared" si="31"/>
        <v>0</v>
      </c>
      <c r="E58" s="24">
        <f t="shared" si="31"/>
        <v>1034482500</v>
      </c>
      <c r="F58" s="24">
        <f t="shared" si="31"/>
        <v>1034482500</v>
      </c>
    </row>
    <row r="59" ht="15.75" customHeight="1">
      <c r="B59" s="23" t="s">
        <v>123</v>
      </c>
      <c r="C59" s="57">
        <v>0.0</v>
      </c>
      <c r="D59" s="57">
        <v>0.0</v>
      </c>
      <c r="E59" s="24">
        <f>H27+I27+J27+K27+L27+M27</f>
        <v>1034482500</v>
      </c>
      <c r="F59" s="24">
        <f>N27+O27+P27+Q27+R27+S27</f>
        <v>1034482500</v>
      </c>
    </row>
    <row r="60" ht="15.75" customHeight="1">
      <c r="B60" s="30" t="s">
        <v>124</v>
      </c>
      <c r="C60" s="24">
        <f t="shared" ref="C60:F60" si="32">C61</f>
        <v>38781300</v>
      </c>
      <c r="D60" s="24">
        <f t="shared" si="32"/>
        <v>63781300</v>
      </c>
      <c r="E60" s="24">
        <f t="shared" si="32"/>
        <v>38781300</v>
      </c>
      <c r="F60" s="24">
        <f t="shared" si="32"/>
        <v>38781300</v>
      </c>
    </row>
    <row r="61" ht="15.75" customHeight="1">
      <c r="B61" s="23" t="s">
        <v>125</v>
      </c>
      <c r="C61" s="24">
        <f>F51+G51+H51+I51+J51+K51</f>
        <v>38781300</v>
      </c>
      <c r="D61" s="24">
        <f>L51+M51+N51+O51+P51+Q51</f>
        <v>63781300</v>
      </c>
      <c r="E61" s="24">
        <f>R51+S51+T51++U51+V51+W51</f>
        <v>38781300</v>
      </c>
      <c r="F61" s="24">
        <f>X51+Y51+Z51+AA51+AB51+AC51</f>
        <v>38781300</v>
      </c>
      <c r="G61" s="56"/>
      <c r="H61" s="56"/>
    </row>
    <row r="62" ht="15.75" customHeight="1">
      <c r="B62" s="30" t="s">
        <v>126</v>
      </c>
      <c r="C62" s="58">
        <f>(C58+D58)-(C60+D60)</f>
        <v>-102562600</v>
      </c>
      <c r="D62" s="53"/>
      <c r="E62" s="58">
        <f>(E58+F58)-(E60+F60)</f>
        <v>1991402400</v>
      </c>
      <c r="F62" s="53"/>
      <c r="G62" s="56"/>
      <c r="H62" s="56"/>
      <c r="I62" s="56"/>
    </row>
    <row r="63" ht="15.75" customHeight="1">
      <c r="H63" s="56"/>
      <c r="I63" s="56"/>
    </row>
    <row r="64" ht="21.0" customHeight="1">
      <c r="B64" s="37" t="s">
        <v>127</v>
      </c>
    </row>
    <row r="65" ht="15.75" customHeight="1">
      <c r="B65" s="59" t="s">
        <v>128</v>
      </c>
    </row>
    <row r="66" ht="15.75" customHeight="1">
      <c r="B66" s="1" t="s">
        <v>129</v>
      </c>
    </row>
    <row r="67" ht="15.75" customHeight="1">
      <c r="B67" s="59" t="s">
        <v>130</v>
      </c>
    </row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C56:D56"/>
    <mergeCell ref="E56:F56"/>
    <mergeCell ref="C62:D62"/>
    <mergeCell ref="E62:F62"/>
    <mergeCell ref="B64:F64"/>
  </mergeCell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 outlineLevelCol="1" outlineLevelRow="1"/>
  <cols>
    <col customWidth="1" min="1" max="1" width="8.14"/>
    <col customWidth="1" min="2" max="2" width="35.14"/>
    <col customWidth="1" min="3" max="3" width="13.43"/>
    <col customWidth="1" min="4" max="4" width="17.0"/>
    <col customWidth="1" min="5" max="5" width="17.57"/>
    <col customWidth="1" min="6" max="6" width="15.86"/>
    <col customWidth="1" min="7" max="7" width="15.57"/>
    <col customWidth="1" min="8" max="8" width="13.71" outlineLevel="1"/>
    <col customWidth="1" min="9" max="9" width="11.43" outlineLevel="1"/>
    <col customWidth="1" min="10" max="10" width="12.29" outlineLevel="1"/>
    <col customWidth="1" min="11" max="11" width="11.29" outlineLevel="1"/>
    <col customWidth="1" min="12" max="12" width="11.57" outlineLevel="1"/>
    <col customWidth="1" min="13" max="13" width="13.29" outlineLevel="1"/>
    <col customWidth="1" min="14" max="14" width="12.57" outlineLevel="1"/>
    <col customWidth="1" min="15" max="15" width="13.14" outlineLevel="1"/>
    <col customWidth="1" min="16" max="16" width="13.43" outlineLevel="1"/>
    <col customWidth="1" min="17" max="17" width="15.29" outlineLevel="1"/>
    <col customWidth="1" min="18" max="18" width="13.0" outlineLevel="1"/>
    <col customWidth="1" min="19" max="19" width="13.57" outlineLevel="1"/>
    <col customWidth="1" min="20" max="20" width="15.57" outlineLevel="1"/>
    <col customWidth="1" min="21" max="23" width="13.86" outlineLevel="1"/>
    <col customWidth="1" min="24" max="32" width="13.86"/>
  </cols>
  <sheetData>
    <row r="1" outlineLevel="1">
      <c r="B1" s="1" t="s">
        <v>22</v>
      </c>
      <c r="C1" s="1"/>
      <c r="D1" s="1"/>
      <c r="E1" s="1"/>
    </row>
    <row r="2" outlineLevel="1">
      <c r="E2" s="18"/>
      <c r="F2" s="19" t="s">
        <v>23</v>
      </c>
    </row>
    <row r="3" outlineLevel="1">
      <c r="A3" s="20" t="s">
        <v>24</v>
      </c>
      <c r="B3" s="20" t="s">
        <v>25</v>
      </c>
      <c r="C3" s="21" t="s">
        <v>26</v>
      </c>
      <c r="D3" s="21" t="s">
        <v>27</v>
      </c>
      <c r="E3" s="21" t="s">
        <v>28</v>
      </c>
      <c r="F3" s="21" t="s">
        <v>29</v>
      </c>
      <c r="G3" s="21" t="s">
        <v>30</v>
      </c>
      <c r="H3" s="21" t="s">
        <v>31</v>
      </c>
      <c r="I3" s="21" t="s">
        <v>32</v>
      </c>
      <c r="J3" s="21" t="s">
        <v>33</v>
      </c>
      <c r="K3" s="21" t="s">
        <v>34</v>
      </c>
      <c r="L3" s="21" t="s">
        <v>35</v>
      </c>
      <c r="M3" s="21" t="s">
        <v>36</v>
      </c>
      <c r="N3" s="21" t="s">
        <v>37</v>
      </c>
      <c r="O3" s="21" t="s">
        <v>38</v>
      </c>
      <c r="P3" s="21" t="s">
        <v>39</v>
      </c>
      <c r="Q3" s="21" t="s">
        <v>40</v>
      </c>
      <c r="R3" s="21" t="s">
        <v>41</v>
      </c>
      <c r="S3" s="21" t="s">
        <v>42</v>
      </c>
    </row>
    <row r="4" outlineLevel="1">
      <c r="A4" s="22" t="s">
        <v>43</v>
      </c>
      <c r="B4" s="23" t="s">
        <v>44</v>
      </c>
      <c r="C4" s="24">
        <f>(150000*2)/12</f>
        <v>25000</v>
      </c>
      <c r="D4" s="25" t="s">
        <v>45</v>
      </c>
      <c r="E4" s="24">
        <f>C4*12</f>
        <v>300000</v>
      </c>
      <c r="F4" s="26">
        <v>19.99</v>
      </c>
      <c r="G4" s="27">
        <f>F4*E4</f>
        <v>5997000</v>
      </c>
      <c r="H4" s="27">
        <f t="shared" ref="H4:S4" si="1">$C$4*$F$4</f>
        <v>499750</v>
      </c>
      <c r="I4" s="27">
        <f t="shared" si="1"/>
        <v>499750</v>
      </c>
      <c r="J4" s="27">
        <f t="shared" si="1"/>
        <v>499750</v>
      </c>
      <c r="K4" s="27">
        <f t="shared" si="1"/>
        <v>499750</v>
      </c>
      <c r="L4" s="27">
        <f t="shared" si="1"/>
        <v>499750</v>
      </c>
      <c r="M4" s="27">
        <f t="shared" si="1"/>
        <v>499750</v>
      </c>
      <c r="N4" s="27">
        <f t="shared" si="1"/>
        <v>499750</v>
      </c>
      <c r="O4" s="27">
        <f t="shared" si="1"/>
        <v>499750</v>
      </c>
      <c r="P4" s="27">
        <f t="shared" si="1"/>
        <v>499750</v>
      </c>
      <c r="Q4" s="27">
        <f t="shared" si="1"/>
        <v>499750</v>
      </c>
      <c r="R4" s="27">
        <f t="shared" si="1"/>
        <v>499750</v>
      </c>
      <c r="S4" s="27">
        <f t="shared" si="1"/>
        <v>499750</v>
      </c>
    </row>
    <row r="5" outlineLevel="1">
      <c r="A5" s="22" t="s">
        <v>46</v>
      </c>
      <c r="B5" s="23" t="s">
        <v>47</v>
      </c>
      <c r="C5" s="24">
        <f>(C4*F4)*0.3</f>
        <v>149925</v>
      </c>
      <c r="D5" s="25" t="s">
        <v>23</v>
      </c>
      <c r="E5" s="28">
        <v>0.3</v>
      </c>
      <c r="F5" s="29">
        <f>F4*E5</f>
        <v>5.997</v>
      </c>
      <c r="G5" s="27">
        <f>E4*F5</f>
        <v>1799100</v>
      </c>
      <c r="H5" s="27">
        <f t="shared" ref="H5:S5" si="2">$C$4*$F$5</f>
        <v>149925</v>
      </c>
      <c r="I5" s="27">
        <f t="shared" si="2"/>
        <v>149925</v>
      </c>
      <c r="J5" s="27">
        <f t="shared" si="2"/>
        <v>149925</v>
      </c>
      <c r="K5" s="27">
        <f t="shared" si="2"/>
        <v>149925</v>
      </c>
      <c r="L5" s="27">
        <f t="shared" si="2"/>
        <v>149925</v>
      </c>
      <c r="M5" s="27">
        <f t="shared" si="2"/>
        <v>149925</v>
      </c>
      <c r="N5" s="27">
        <f t="shared" si="2"/>
        <v>149925</v>
      </c>
      <c r="O5" s="27">
        <f t="shared" si="2"/>
        <v>149925</v>
      </c>
      <c r="P5" s="27">
        <f t="shared" si="2"/>
        <v>149925</v>
      </c>
      <c r="Q5" s="27">
        <f t="shared" si="2"/>
        <v>149925</v>
      </c>
      <c r="R5" s="27">
        <f t="shared" si="2"/>
        <v>149925</v>
      </c>
      <c r="S5" s="27">
        <f t="shared" si="2"/>
        <v>149925</v>
      </c>
    </row>
    <row r="6" outlineLevel="1">
      <c r="A6" s="22" t="s">
        <v>48</v>
      </c>
      <c r="B6" s="23" t="s">
        <v>49</v>
      </c>
      <c r="C6" s="24">
        <f>C4*F4*0.01</f>
        <v>4997.5</v>
      </c>
      <c r="D6" s="25" t="s">
        <v>23</v>
      </c>
      <c r="E6" s="28">
        <v>0.01</v>
      </c>
      <c r="F6" s="26">
        <f>(F4-F5)*E6</f>
        <v>0.13993</v>
      </c>
      <c r="G6" s="27">
        <f>(E4*F4)*E6</f>
        <v>59970</v>
      </c>
      <c r="H6" s="27">
        <f>G6/12</f>
        <v>4997.5</v>
      </c>
      <c r="I6" s="27">
        <f t="shared" ref="I6:S6" si="3">H6</f>
        <v>4997.5</v>
      </c>
      <c r="J6" s="27">
        <f t="shared" si="3"/>
        <v>4997.5</v>
      </c>
      <c r="K6" s="27">
        <f t="shared" si="3"/>
        <v>4997.5</v>
      </c>
      <c r="L6" s="27">
        <f t="shared" si="3"/>
        <v>4997.5</v>
      </c>
      <c r="M6" s="27">
        <f t="shared" si="3"/>
        <v>4997.5</v>
      </c>
      <c r="N6" s="27">
        <f t="shared" si="3"/>
        <v>4997.5</v>
      </c>
      <c r="O6" s="27">
        <f t="shared" si="3"/>
        <v>4997.5</v>
      </c>
      <c r="P6" s="27">
        <f t="shared" si="3"/>
        <v>4997.5</v>
      </c>
      <c r="Q6" s="27">
        <f t="shared" si="3"/>
        <v>4997.5</v>
      </c>
      <c r="R6" s="27">
        <f t="shared" si="3"/>
        <v>4997.5</v>
      </c>
      <c r="S6" s="27">
        <f t="shared" si="3"/>
        <v>4997.5</v>
      </c>
    </row>
    <row r="7" outlineLevel="1">
      <c r="A7" s="22" t="s">
        <v>50</v>
      </c>
      <c r="B7" s="30" t="s">
        <v>51</v>
      </c>
      <c r="C7" s="24">
        <f>(F4*C4)-C5-C6</f>
        <v>344827.5</v>
      </c>
      <c r="D7" s="25" t="s">
        <v>23</v>
      </c>
      <c r="E7" s="27"/>
      <c r="F7" s="26">
        <f t="shared" ref="F7:S7" si="4">F4-F5-F6</f>
        <v>13.85307</v>
      </c>
      <c r="G7" s="27">
        <f t="shared" si="4"/>
        <v>4137930</v>
      </c>
      <c r="H7" s="27">
        <f t="shared" si="4"/>
        <v>344827.5</v>
      </c>
      <c r="I7" s="27">
        <f t="shared" si="4"/>
        <v>344827.5</v>
      </c>
      <c r="J7" s="27">
        <f t="shared" si="4"/>
        <v>344827.5</v>
      </c>
      <c r="K7" s="27">
        <f t="shared" si="4"/>
        <v>344827.5</v>
      </c>
      <c r="L7" s="27">
        <f t="shared" si="4"/>
        <v>344827.5</v>
      </c>
      <c r="M7" s="27">
        <f t="shared" si="4"/>
        <v>344827.5</v>
      </c>
      <c r="N7" s="27">
        <f t="shared" si="4"/>
        <v>344827.5</v>
      </c>
      <c r="O7" s="27">
        <f t="shared" si="4"/>
        <v>344827.5</v>
      </c>
      <c r="P7" s="27">
        <f t="shared" si="4"/>
        <v>344827.5</v>
      </c>
      <c r="Q7" s="27">
        <f t="shared" si="4"/>
        <v>344827.5</v>
      </c>
      <c r="R7" s="27">
        <f t="shared" si="4"/>
        <v>344827.5</v>
      </c>
      <c r="S7" s="27">
        <f t="shared" si="4"/>
        <v>344827.5</v>
      </c>
    </row>
    <row r="8" outlineLevel="1">
      <c r="A8" s="31" t="s">
        <v>52</v>
      </c>
      <c r="B8" s="32" t="s">
        <v>53</v>
      </c>
      <c r="C8" s="33">
        <f>C7*F11</f>
        <v>172413750</v>
      </c>
      <c r="D8" s="34" t="s">
        <v>54</v>
      </c>
      <c r="E8" s="35"/>
      <c r="F8" s="35">
        <f>F7*F11</f>
        <v>6926.535</v>
      </c>
      <c r="G8" s="35">
        <f t="shared" ref="G8:S8" si="5">G7*$F$11</f>
        <v>2068965000</v>
      </c>
      <c r="H8" s="35">
        <f t="shared" si="5"/>
        <v>172413750</v>
      </c>
      <c r="I8" s="35">
        <f t="shared" si="5"/>
        <v>172413750</v>
      </c>
      <c r="J8" s="35">
        <f t="shared" si="5"/>
        <v>172413750</v>
      </c>
      <c r="K8" s="35">
        <f t="shared" si="5"/>
        <v>172413750</v>
      </c>
      <c r="L8" s="35">
        <f t="shared" si="5"/>
        <v>172413750</v>
      </c>
      <c r="M8" s="35">
        <f t="shared" si="5"/>
        <v>172413750</v>
      </c>
      <c r="N8" s="35">
        <f t="shared" si="5"/>
        <v>172413750</v>
      </c>
      <c r="O8" s="35">
        <f t="shared" si="5"/>
        <v>172413750</v>
      </c>
      <c r="P8" s="35">
        <f t="shared" si="5"/>
        <v>172413750</v>
      </c>
      <c r="Q8" s="35">
        <f t="shared" si="5"/>
        <v>172413750</v>
      </c>
      <c r="R8" s="35">
        <f t="shared" si="5"/>
        <v>172413750</v>
      </c>
      <c r="S8" s="35">
        <f t="shared" si="5"/>
        <v>172413750</v>
      </c>
    </row>
    <row r="9" outlineLevel="1">
      <c r="A9" s="36"/>
      <c r="B9" s="37"/>
      <c r="C9" s="38"/>
      <c r="D9" s="39"/>
      <c r="E9" s="40"/>
      <c r="F9" s="41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</row>
    <row r="10" ht="24.75" customHeight="1" outlineLevel="1">
      <c r="B10" s="1" t="s">
        <v>131</v>
      </c>
      <c r="C10" s="1"/>
      <c r="D10" s="1"/>
      <c r="E10" s="19" t="s">
        <v>132</v>
      </c>
      <c r="G10" s="43"/>
    </row>
    <row r="11" outlineLevel="1">
      <c r="E11" s="19" t="s">
        <v>56</v>
      </c>
      <c r="F11" s="19">
        <v>500.0</v>
      </c>
      <c r="H11" s="19" t="s">
        <v>54</v>
      </c>
    </row>
    <row r="12" outlineLevel="1">
      <c r="A12" s="20" t="s">
        <v>24</v>
      </c>
      <c r="B12" s="20" t="s">
        <v>57</v>
      </c>
      <c r="C12" s="21" t="s">
        <v>58</v>
      </c>
      <c r="D12" s="21" t="s">
        <v>59</v>
      </c>
      <c r="E12" s="21" t="s">
        <v>133</v>
      </c>
      <c r="F12" s="21" t="s">
        <v>61</v>
      </c>
      <c r="G12" s="21" t="s">
        <v>62</v>
      </c>
      <c r="H12" s="21" t="s">
        <v>63</v>
      </c>
      <c r="I12" s="21" t="s">
        <v>64</v>
      </c>
      <c r="J12" s="21" t="s">
        <v>65</v>
      </c>
      <c r="K12" s="21" t="s">
        <v>66</v>
      </c>
      <c r="L12" s="21" t="s">
        <v>67</v>
      </c>
      <c r="M12" s="21" t="s">
        <v>68</v>
      </c>
      <c r="N12" s="21" t="s">
        <v>69</v>
      </c>
      <c r="O12" s="21" t="s">
        <v>70</v>
      </c>
      <c r="P12" s="21" t="s">
        <v>71</v>
      </c>
      <c r="Q12" s="21" t="s">
        <v>72</v>
      </c>
      <c r="R12" s="21" t="s">
        <v>73</v>
      </c>
      <c r="S12" s="21" t="s">
        <v>74</v>
      </c>
      <c r="T12" s="21" t="s">
        <v>75</v>
      </c>
      <c r="U12" s="21" t="s">
        <v>76</v>
      </c>
      <c r="V12" s="21" t="s">
        <v>77</v>
      </c>
      <c r="W12" s="21" t="s">
        <v>78</v>
      </c>
      <c r="X12" s="21" t="s">
        <v>79</v>
      </c>
      <c r="Y12" s="21" t="s">
        <v>80</v>
      </c>
      <c r="Z12" s="21" t="s">
        <v>81</v>
      </c>
      <c r="AA12" s="21" t="s">
        <v>82</v>
      </c>
      <c r="AB12" s="21" t="s">
        <v>83</v>
      </c>
      <c r="AC12" s="21" t="s">
        <v>84</v>
      </c>
    </row>
    <row r="13" outlineLevel="1">
      <c r="A13" s="44" t="s">
        <v>43</v>
      </c>
      <c r="B13" s="30" t="s">
        <v>85</v>
      </c>
      <c r="C13" s="45">
        <f>SUM(C14:C21)</f>
        <v>5250000</v>
      </c>
      <c r="D13" s="46">
        <v>12.0</v>
      </c>
      <c r="E13" s="45">
        <f t="shared" ref="E13:E22" si="7">C13*D13</f>
        <v>63000000</v>
      </c>
      <c r="F13" s="45">
        <f t="shared" ref="F13:AC13" si="6">SUM(F14:F21)</f>
        <v>5250000</v>
      </c>
      <c r="G13" s="45">
        <f t="shared" si="6"/>
        <v>5250000</v>
      </c>
      <c r="H13" s="45">
        <f t="shared" si="6"/>
        <v>5250000</v>
      </c>
      <c r="I13" s="45">
        <f t="shared" si="6"/>
        <v>5250000</v>
      </c>
      <c r="J13" s="45">
        <f t="shared" si="6"/>
        <v>5250000</v>
      </c>
      <c r="K13" s="45">
        <f t="shared" si="6"/>
        <v>5250000</v>
      </c>
      <c r="L13" s="45">
        <f t="shared" si="6"/>
        <v>5250000</v>
      </c>
      <c r="M13" s="45">
        <f t="shared" si="6"/>
        <v>5250000</v>
      </c>
      <c r="N13" s="45">
        <f t="shared" si="6"/>
        <v>5250000</v>
      </c>
      <c r="O13" s="45">
        <f t="shared" si="6"/>
        <v>5250000</v>
      </c>
      <c r="P13" s="45">
        <f t="shared" si="6"/>
        <v>5250000</v>
      </c>
      <c r="Q13" s="45">
        <f t="shared" si="6"/>
        <v>5250000</v>
      </c>
      <c r="R13" s="45">
        <f t="shared" si="6"/>
        <v>5250000</v>
      </c>
      <c r="S13" s="45">
        <f t="shared" si="6"/>
        <v>5250000</v>
      </c>
      <c r="T13" s="45">
        <f t="shared" si="6"/>
        <v>5250000</v>
      </c>
      <c r="U13" s="45">
        <f t="shared" si="6"/>
        <v>5250000</v>
      </c>
      <c r="V13" s="45">
        <f t="shared" si="6"/>
        <v>5250000</v>
      </c>
      <c r="W13" s="45">
        <f t="shared" si="6"/>
        <v>5250000</v>
      </c>
      <c r="X13" s="45">
        <f t="shared" si="6"/>
        <v>5250000</v>
      </c>
      <c r="Y13" s="45">
        <f t="shared" si="6"/>
        <v>5250000</v>
      </c>
      <c r="Z13" s="45">
        <f t="shared" si="6"/>
        <v>5250000</v>
      </c>
      <c r="AA13" s="45">
        <f t="shared" si="6"/>
        <v>5250000</v>
      </c>
      <c r="AB13" s="45">
        <f t="shared" si="6"/>
        <v>5250000</v>
      </c>
      <c r="AC13" s="45">
        <f t="shared" si="6"/>
        <v>5250000</v>
      </c>
    </row>
    <row r="14" outlineLevel="1">
      <c r="A14" s="44" t="s">
        <v>86</v>
      </c>
      <c r="B14" s="23" t="s">
        <v>87</v>
      </c>
      <c r="C14" s="47">
        <f>'P&amp;L'!C33</f>
        <v>750000</v>
      </c>
      <c r="D14" s="46">
        <v>12.0</v>
      </c>
      <c r="E14" s="47">
        <f t="shared" si="7"/>
        <v>9000000</v>
      </c>
      <c r="F14" s="47">
        <f t="shared" ref="F14:F21" si="9">C14</f>
        <v>750000</v>
      </c>
      <c r="G14" s="47">
        <f t="shared" ref="G14:AC14" si="8">F14</f>
        <v>750000</v>
      </c>
      <c r="H14" s="47">
        <f t="shared" si="8"/>
        <v>750000</v>
      </c>
      <c r="I14" s="47">
        <f t="shared" si="8"/>
        <v>750000</v>
      </c>
      <c r="J14" s="47">
        <f t="shared" si="8"/>
        <v>750000</v>
      </c>
      <c r="K14" s="47">
        <f t="shared" si="8"/>
        <v>750000</v>
      </c>
      <c r="L14" s="47">
        <f t="shared" si="8"/>
        <v>750000</v>
      </c>
      <c r="M14" s="47">
        <f t="shared" si="8"/>
        <v>750000</v>
      </c>
      <c r="N14" s="47">
        <f t="shared" si="8"/>
        <v>750000</v>
      </c>
      <c r="O14" s="47">
        <f t="shared" si="8"/>
        <v>750000</v>
      </c>
      <c r="P14" s="47">
        <f t="shared" si="8"/>
        <v>750000</v>
      </c>
      <c r="Q14" s="47">
        <f t="shared" si="8"/>
        <v>750000</v>
      </c>
      <c r="R14" s="47">
        <f t="shared" si="8"/>
        <v>750000</v>
      </c>
      <c r="S14" s="47">
        <f t="shared" si="8"/>
        <v>750000</v>
      </c>
      <c r="T14" s="47">
        <f t="shared" si="8"/>
        <v>750000</v>
      </c>
      <c r="U14" s="47">
        <f t="shared" si="8"/>
        <v>750000</v>
      </c>
      <c r="V14" s="47">
        <f t="shared" si="8"/>
        <v>750000</v>
      </c>
      <c r="W14" s="47">
        <f t="shared" si="8"/>
        <v>750000</v>
      </c>
      <c r="X14" s="47">
        <f t="shared" si="8"/>
        <v>750000</v>
      </c>
      <c r="Y14" s="47">
        <f t="shared" si="8"/>
        <v>750000</v>
      </c>
      <c r="Z14" s="47">
        <f t="shared" si="8"/>
        <v>750000</v>
      </c>
      <c r="AA14" s="47">
        <f t="shared" si="8"/>
        <v>750000</v>
      </c>
      <c r="AB14" s="47">
        <f t="shared" si="8"/>
        <v>750000</v>
      </c>
      <c r="AC14" s="47">
        <f t="shared" si="8"/>
        <v>750000</v>
      </c>
    </row>
    <row r="15" outlineLevel="1">
      <c r="A15" s="44" t="s">
        <v>88</v>
      </c>
      <c r="B15" s="23" t="s">
        <v>89</v>
      </c>
      <c r="C15" s="47">
        <f>'P&amp;L'!C34</f>
        <v>750000</v>
      </c>
      <c r="D15" s="46">
        <v>12.0</v>
      </c>
      <c r="E15" s="47">
        <f t="shared" si="7"/>
        <v>9000000</v>
      </c>
      <c r="F15" s="47">
        <f t="shared" si="9"/>
        <v>750000</v>
      </c>
      <c r="G15" s="47">
        <f t="shared" ref="G15:AC15" si="10">F15</f>
        <v>750000</v>
      </c>
      <c r="H15" s="47">
        <f t="shared" si="10"/>
        <v>750000</v>
      </c>
      <c r="I15" s="47">
        <f t="shared" si="10"/>
        <v>750000</v>
      </c>
      <c r="J15" s="47">
        <f t="shared" si="10"/>
        <v>750000</v>
      </c>
      <c r="K15" s="47">
        <f t="shared" si="10"/>
        <v>750000</v>
      </c>
      <c r="L15" s="47">
        <f t="shared" si="10"/>
        <v>750000</v>
      </c>
      <c r="M15" s="47">
        <f t="shared" si="10"/>
        <v>750000</v>
      </c>
      <c r="N15" s="47">
        <f t="shared" si="10"/>
        <v>750000</v>
      </c>
      <c r="O15" s="47">
        <f t="shared" si="10"/>
        <v>750000</v>
      </c>
      <c r="P15" s="47">
        <f t="shared" si="10"/>
        <v>750000</v>
      </c>
      <c r="Q15" s="47">
        <f t="shared" si="10"/>
        <v>750000</v>
      </c>
      <c r="R15" s="47">
        <f t="shared" si="10"/>
        <v>750000</v>
      </c>
      <c r="S15" s="47">
        <f t="shared" si="10"/>
        <v>750000</v>
      </c>
      <c r="T15" s="47">
        <f t="shared" si="10"/>
        <v>750000</v>
      </c>
      <c r="U15" s="47">
        <f t="shared" si="10"/>
        <v>750000</v>
      </c>
      <c r="V15" s="47">
        <f t="shared" si="10"/>
        <v>750000</v>
      </c>
      <c r="W15" s="47">
        <f t="shared" si="10"/>
        <v>750000</v>
      </c>
      <c r="X15" s="47">
        <f t="shared" si="10"/>
        <v>750000</v>
      </c>
      <c r="Y15" s="47">
        <f t="shared" si="10"/>
        <v>750000</v>
      </c>
      <c r="Z15" s="47">
        <f t="shared" si="10"/>
        <v>750000</v>
      </c>
      <c r="AA15" s="47">
        <f t="shared" si="10"/>
        <v>750000</v>
      </c>
      <c r="AB15" s="47">
        <f t="shared" si="10"/>
        <v>750000</v>
      </c>
      <c r="AC15" s="47">
        <f t="shared" si="10"/>
        <v>750000</v>
      </c>
    </row>
    <row r="16" outlineLevel="1">
      <c r="A16" s="44" t="s">
        <v>90</v>
      </c>
      <c r="B16" s="23" t="s">
        <v>91</v>
      </c>
      <c r="C16" s="47">
        <f>'P&amp;L'!C35</f>
        <v>750000</v>
      </c>
      <c r="D16" s="46">
        <v>12.0</v>
      </c>
      <c r="E16" s="47">
        <f t="shared" si="7"/>
        <v>9000000</v>
      </c>
      <c r="F16" s="47">
        <f t="shared" si="9"/>
        <v>750000</v>
      </c>
      <c r="G16" s="47">
        <f t="shared" ref="G16:AC16" si="11">F16</f>
        <v>750000</v>
      </c>
      <c r="H16" s="47">
        <f t="shared" si="11"/>
        <v>750000</v>
      </c>
      <c r="I16" s="47">
        <f t="shared" si="11"/>
        <v>750000</v>
      </c>
      <c r="J16" s="47">
        <f t="shared" si="11"/>
        <v>750000</v>
      </c>
      <c r="K16" s="47">
        <f t="shared" si="11"/>
        <v>750000</v>
      </c>
      <c r="L16" s="47">
        <f t="shared" si="11"/>
        <v>750000</v>
      </c>
      <c r="M16" s="47">
        <f t="shared" si="11"/>
        <v>750000</v>
      </c>
      <c r="N16" s="47">
        <f t="shared" si="11"/>
        <v>750000</v>
      </c>
      <c r="O16" s="47">
        <f t="shared" si="11"/>
        <v>750000</v>
      </c>
      <c r="P16" s="47">
        <f t="shared" si="11"/>
        <v>750000</v>
      </c>
      <c r="Q16" s="47">
        <f t="shared" si="11"/>
        <v>750000</v>
      </c>
      <c r="R16" s="47">
        <f t="shared" si="11"/>
        <v>750000</v>
      </c>
      <c r="S16" s="47">
        <f t="shared" si="11"/>
        <v>750000</v>
      </c>
      <c r="T16" s="47">
        <f t="shared" si="11"/>
        <v>750000</v>
      </c>
      <c r="U16" s="47">
        <f t="shared" si="11"/>
        <v>750000</v>
      </c>
      <c r="V16" s="47">
        <f t="shared" si="11"/>
        <v>750000</v>
      </c>
      <c r="W16" s="47">
        <f t="shared" si="11"/>
        <v>750000</v>
      </c>
      <c r="X16" s="47">
        <f t="shared" si="11"/>
        <v>750000</v>
      </c>
      <c r="Y16" s="47">
        <f t="shared" si="11"/>
        <v>750000</v>
      </c>
      <c r="Z16" s="47">
        <f t="shared" si="11"/>
        <v>750000</v>
      </c>
      <c r="AA16" s="47">
        <f t="shared" si="11"/>
        <v>750000</v>
      </c>
      <c r="AB16" s="47">
        <f t="shared" si="11"/>
        <v>750000</v>
      </c>
      <c r="AC16" s="47">
        <f t="shared" si="11"/>
        <v>750000</v>
      </c>
    </row>
    <row r="17" outlineLevel="1">
      <c r="A17" s="44" t="s">
        <v>92</v>
      </c>
      <c r="B17" s="23" t="s">
        <v>93</v>
      </c>
      <c r="C17" s="47">
        <f>'P&amp;L'!C36</f>
        <v>750000</v>
      </c>
      <c r="D17" s="46">
        <v>12.0</v>
      </c>
      <c r="E17" s="47">
        <f t="shared" si="7"/>
        <v>9000000</v>
      </c>
      <c r="F17" s="47">
        <f t="shared" si="9"/>
        <v>750000</v>
      </c>
      <c r="G17" s="47">
        <f t="shared" ref="G17:AC17" si="12">F17</f>
        <v>750000</v>
      </c>
      <c r="H17" s="47">
        <f t="shared" si="12"/>
        <v>750000</v>
      </c>
      <c r="I17" s="47">
        <f t="shared" si="12"/>
        <v>750000</v>
      </c>
      <c r="J17" s="47">
        <f t="shared" si="12"/>
        <v>750000</v>
      </c>
      <c r="K17" s="47">
        <f t="shared" si="12"/>
        <v>750000</v>
      </c>
      <c r="L17" s="47">
        <f t="shared" si="12"/>
        <v>750000</v>
      </c>
      <c r="M17" s="47">
        <f t="shared" si="12"/>
        <v>750000</v>
      </c>
      <c r="N17" s="47">
        <f t="shared" si="12"/>
        <v>750000</v>
      </c>
      <c r="O17" s="47">
        <f t="shared" si="12"/>
        <v>750000</v>
      </c>
      <c r="P17" s="47">
        <f t="shared" si="12"/>
        <v>750000</v>
      </c>
      <c r="Q17" s="47">
        <f t="shared" si="12"/>
        <v>750000</v>
      </c>
      <c r="R17" s="47">
        <f t="shared" si="12"/>
        <v>750000</v>
      </c>
      <c r="S17" s="47">
        <f t="shared" si="12"/>
        <v>750000</v>
      </c>
      <c r="T17" s="47">
        <f t="shared" si="12"/>
        <v>750000</v>
      </c>
      <c r="U17" s="47">
        <f t="shared" si="12"/>
        <v>750000</v>
      </c>
      <c r="V17" s="47">
        <f t="shared" si="12"/>
        <v>750000</v>
      </c>
      <c r="W17" s="47">
        <f t="shared" si="12"/>
        <v>750000</v>
      </c>
      <c r="X17" s="47">
        <f t="shared" si="12"/>
        <v>750000</v>
      </c>
      <c r="Y17" s="47">
        <f t="shared" si="12"/>
        <v>750000</v>
      </c>
      <c r="Z17" s="47">
        <f t="shared" si="12"/>
        <v>750000</v>
      </c>
      <c r="AA17" s="47">
        <f t="shared" si="12"/>
        <v>750000</v>
      </c>
      <c r="AB17" s="47">
        <f t="shared" si="12"/>
        <v>750000</v>
      </c>
      <c r="AC17" s="47">
        <f t="shared" si="12"/>
        <v>750000</v>
      </c>
    </row>
    <row r="18" outlineLevel="1">
      <c r="A18" s="44" t="s">
        <v>94</v>
      </c>
      <c r="B18" s="23" t="s">
        <v>95</v>
      </c>
      <c r="C18" s="47">
        <f>'P&amp;L'!C37</f>
        <v>750000</v>
      </c>
      <c r="D18" s="46">
        <v>12.0</v>
      </c>
      <c r="E18" s="47">
        <f t="shared" si="7"/>
        <v>9000000</v>
      </c>
      <c r="F18" s="47">
        <f t="shared" si="9"/>
        <v>750000</v>
      </c>
      <c r="G18" s="47">
        <f t="shared" ref="G18:AC18" si="13">F18</f>
        <v>750000</v>
      </c>
      <c r="H18" s="47">
        <f t="shared" si="13"/>
        <v>750000</v>
      </c>
      <c r="I18" s="47">
        <f t="shared" si="13"/>
        <v>750000</v>
      </c>
      <c r="J18" s="47">
        <f t="shared" si="13"/>
        <v>750000</v>
      </c>
      <c r="K18" s="47">
        <f t="shared" si="13"/>
        <v>750000</v>
      </c>
      <c r="L18" s="47">
        <f t="shared" si="13"/>
        <v>750000</v>
      </c>
      <c r="M18" s="47">
        <f t="shared" si="13"/>
        <v>750000</v>
      </c>
      <c r="N18" s="47">
        <f t="shared" si="13"/>
        <v>750000</v>
      </c>
      <c r="O18" s="47">
        <f t="shared" si="13"/>
        <v>750000</v>
      </c>
      <c r="P18" s="47">
        <f t="shared" si="13"/>
        <v>750000</v>
      </c>
      <c r="Q18" s="47">
        <f t="shared" si="13"/>
        <v>750000</v>
      </c>
      <c r="R18" s="47">
        <f t="shared" si="13"/>
        <v>750000</v>
      </c>
      <c r="S18" s="47">
        <f t="shared" si="13"/>
        <v>750000</v>
      </c>
      <c r="T18" s="47">
        <f t="shared" si="13"/>
        <v>750000</v>
      </c>
      <c r="U18" s="47">
        <f t="shared" si="13"/>
        <v>750000</v>
      </c>
      <c r="V18" s="47">
        <f t="shared" si="13"/>
        <v>750000</v>
      </c>
      <c r="W18" s="47">
        <f t="shared" si="13"/>
        <v>750000</v>
      </c>
      <c r="X18" s="47">
        <f t="shared" si="13"/>
        <v>750000</v>
      </c>
      <c r="Y18" s="47">
        <f t="shared" si="13"/>
        <v>750000</v>
      </c>
      <c r="Z18" s="47">
        <f t="shared" si="13"/>
        <v>750000</v>
      </c>
      <c r="AA18" s="47">
        <f t="shared" si="13"/>
        <v>750000</v>
      </c>
      <c r="AB18" s="47">
        <f t="shared" si="13"/>
        <v>750000</v>
      </c>
      <c r="AC18" s="47">
        <f t="shared" si="13"/>
        <v>750000</v>
      </c>
    </row>
    <row r="19" outlineLevel="1">
      <c r="A19" s="44" t="s">
        <v>96</v>
      </c>
      <c r="B19" s="23" t="s">
        <v>97</v>
      </c>
      <c r="C19" s="47">
        <f>'P&amp;L'!C38</f>
        <v>500000</v>
      </c>
      <c r="D19" s="46">
        <v>12.0</v>
      </c>
      <c r="E19" s="47">
        <f t="shared" si="7"/>
        <v>6000000</v>
      </c>
      <c r="F19" s="47">
        <f t="shared" si="9"/>
        <v>500000</v>
      </c>
      <c r="G19" s="47">
        <f t="shared" ref="G19:AC19" si="14">F19</f>
        <v>500000</v>
      </c>
      <c r="H19" s="47">
        <f t="shared" si="14"/>
        <v>500000</v>
      </c>
      <c r="I19" s="47">
        <f t="shared" si="14"/>
        <v>500000</v>
      </c>
      <c r="J19" s="47">
        <f t="shared" si="14"/>
        <v>500000</v>
      </c>
      <c r="K19" s="47">
        <f t="shared" si="14"/>
        <v>500000</v>
      </c>
      <c r="L19" s="47">
        <f t="shared" si="14"/>
        <v>500000</v>
      </c>
      <c r="M19" s="47">
        <f t="shared" si="14"/>
        <v>500000</v>
      </c>
      <c r="N19" s="47">
        <f t="shared" si="14"/>
        <v>500000</v>
      </c>
      <c r="O19" s="47">
        <f t="shared" si="14"/>
        <v>500000</v>
      </c>
      <c r="P19" s="47">
        <f t="shared" si="14"/>
        <v>500000</v>
      </c>
      <c r="Q19" s="47">
        <f t="shared" si="14"/>
        <v>500000</v>
      </c>
      <c r="R19" s="47">
        <f t="shared" si="14"/>
        <v>500000</v>
      </c>
      <c r="S19" s="47">
        <f t="shared" si="14"/>
        <v>500000</v>
      </c>
      <c r="T19" s="47">
        <f t="shared" si="14"/>
        <v>500000</v>
      </c>
      <c r="U19" s="47">
        <f t="shared" si="14"/>
        <v>500000</v>
      </c>
      <c r="V19" s="47">
        <f t="shared" si="14"/>
        <v>500000</v>
      </c>
      <c r="W19" s="47">
        <f t="shared" si="14"/>
        <v>500000</v>
      </c>
      <c r="X19" s="47">
        <f t="shared" si="14"/>
        <v>500000</v>
      </c>
      <c r="Y19" s="47">
        <f t="shared" si="14"/>
        <v>500000</v>
      </c>
      <c r="Z19" s="47">
        <f t="shared" si="14"/>
        <v>500000</v>
      </c>
      <c r="AA19" s="47">
        <f t="shared" si="14"/>
        <v>500000</v>
      </c>
      <c r="AB19" s="47">
        <f t="shared" si="14"/>
        <v>500000</v>
      </c>
      <c r="AC19" s="47">
        <f t="shared" si="14"/>
        <v>500000</v>
      </c>
    </row>
    <row r="20" outlineLevel="1">
      <c r="A20" s="44" t="s">
        <v>98</v>
      </c>
      <c r="B20" s="23" t="s">
        <v>99</v>
      </c>
      <c r="C20" s="47">
        <f>'P&amp;L'!C39</f>
        <v>500000</v>
      </c>
      <c r="D20" s="46">
        <v>12.0</v>
      </c>
      <c r="E20" s="47">
        <f t="shared" si="7"/>
        <v>6000000</v>
      </c>
      <c r="F20" s="47">
        <f t="shared" si="9"/>
        <v>500000</v>
      </c>
      <c r="G20" s="47">
        <f t="shared" ref="G20:AC20" si="15">F20</f>
        <v>500000</v>
      </c>
      <c r="H20" s="47">
        <f t="shared" si="15"/>
        <v>500000</v>
      </c>
      <c r="I20" s="47">
        <f t="shared" si="15"/>
        <v>500000</v>
      </c>
      <c r="J20" s="47">
        <f t="shared" si="15"/>
        <v>500000</v>
      </c>
      <c r="K20" s="47">
        <f t="shared" si="15"/>
        <v>500000</v>
      </c>
      <c r="L20" s="47">
        <f t="shared" si="15"/>
        <v>500000</v>
      </c>
      <c r="M20" s="47">
        <f t="shared" si="15"/>
        <v>500000</v>
      </c>
      <c r="N20" s="47">
        <f t="shared" si="15"/>
        <v>500000</v>
      </c>
      <c r="O20" s="47">
        <f t="shared" si="15"/>
        <v>500000</v>
      </c>
      <c r="P20" s="47">
        <f t="shared" si="15"/>
        <v>500000</v>
      </c>
      <c r="Q20" s="47">
        <f t="shared" si="15"/>
        <v>500000</v>
      </c>
      <c r="R20" s="47">
        <f t="shared" si="15"/>
        <v>500000</v>
      </c>
      <c r="S20" s="47">
        <f t="shared" si="15"/>
        <v>500000</v>
      </c>
      <c r="T20" s="47">
        <f t="shared" si="15"/>
        <v>500000</v>
      </c>
      <c r="U20" s="47">
        <f t="shared" si="15"/>
        <v>500000</v>
      </c>
      <c r="V20" s="47">
        <f t="shared" si="15"/>
        <v>500000</v>
      </c>
      <c r="W20" s="47">
        <f t="shared" si="15"/>
        <v>500000</v>
      </c>
      <c r="X20" s="47">
        <f t="shared" si="15"/>
        <v>500000</v>
      </c>
      <c r="Y20" s="47">
        <f t="shared" si="15"/>
        <v>500000</v>
      </c>
      <c r="Z20" s="47">
        <f t="shared" si="15"/>
        <v>500000</v>
      </c>
      <c r="AA20" s="47">
        <f t="shared" si="15"/>
        <v>500000</v>
      </c>
      <c r="AB20" s="47">
        <f t="shared" si="15"/>
        <v>500000</v>
      </c>
      <c r="AC20" s="47">
        <f t="shared" si="15"/>
        <v>500000</v>
      </c>
    </row>
    <row r="21" ht="15.75" customHeight="1" outlineLevel="1">
      <c r="A21" s="44" t="s">
        <v>100</v>
      </c>
      <c r="B21" s="23" t="s">
        <v>101</v>
      </c>
      <c r="C21" s="47">
        <f>'P&amp;L'!C40</f>
        <v>500000</v>
      </c>
      <c r="D21" s="46">
        <v>12.0</v>
      </c>
      <c r="E21" s="47">
        <f t="shared" si="7"/>
        <v>6000000</v>
      </c>
      <c r="F21" s="47">
        <f t="shared" si="9"/>
        <v>500000</v>
      </c>
      <c r="G21" s="47">
        <f t="shared" ref="G21:AC21" si="16">F21</f>
        <v>500000</v>
      </c>
      <c r="H21" s="47">
        <f t="shared" si="16"/>
        <v>500000</v>
      </c>
      <c r="I21" s="47">
        <f t="shared" si="16"/>
        <v>500000</v>
      </c>
      <c r="J21" s="47">
        <f t="shared" si="16"/>
        <v>500000</v>
      </c>
      <c r="K21" s="47">
        <f t="shared" si="16"/>
        <v>500000</v>
      </c>
      <c r="L21" s="47">
        <f t="shared" si="16"/>
        <v>500000</v>
      </c>
      <c r="M21" s="47">
        <f t="shared" si="16"/>
        <v>500000</v>
      </c>
      <c r="N21" s="47">
        <f t="shared" si="16"/>
        <v>500000</v>
      </c>
      <c r="O21" s="47">
        <f t="shared" si="16"/>
        <v>500000</v>
      </c>
      <c r="P21" s="47">
        <f t="shared" si="16"/>
        <v>500000</v>
      </c>
      <c r="Q21" s="47">
        <f t="shared" si="16"/>
        <v>500000</v>
      </c>
      <c r="R21" s="47">
        <f t="shared" si="16"/>
        <v>500000</v>
      </c>
      <c r="S21" s="47">
        <f t="shared" si="16"/>
        <v>500000</v>
      </c>
      <c r="T21" s="47">
        <f t="shared" si="16"/>
        <v>500000</v>
      </c>
      <c r="U21" s="47">
        <f t="shared" si="16"/>
        <v>500000</v>
      </c>
      <c r="V21" s="47">
        <f t="shared" si="16"/>
        <v>500000</v>
      </c>
      <c r="W21" s="47">
        <f t="shared" si="16"/>
        <v>500000</v>
      </c>
      <c r="X21" s="47">
        <f t="shared" si="16"/>
        <v>500000</v>
      </c>
      <c r="Y21" s="47">
        <f t="shared" si="16"/>
        <v>500000</v>
      </c>
      <c r="Z21" s="47">
        <f t="shared" si="16"/>
        <v>500000</v>
      </c>
      <c r="AA21" s="47">
        <f t="shared" si="16"/>
        <v>500000</v>
      </c>
      <c r="AB21" s="47">
        <f t="shared" si="16"/>
        <v>500000</v>
      </c>
      <c r="AC21" s="47">
        <f t="shared" si="16"/>
        <v>500000</v>
      </c>
    </row>
    <row r="22" ht="15.75" customHeight="1" outlineLevel="1">
      <c r="A22" s="44" t="s">
        <v>46</v>
      </c>
      <c r="B22" s="30" t="s">
        <v>102</v>
      </c>
      <c r="C22" s="45">
        <f>C23</f>
        <v>1098550</v>
      </c>
      <c r="D22" s="46">
        <v>12.0</v>
      </c>
      <c r="E22" s="45">
        <f t="shared" si="7"/>
        <v>13182600</v>
      </c>
      <c r="F22" s="45">
        <f t="shared" ref="F22:AC22" si="17">F23</f>
        <v>1098550</v>
      </c>
      <c r="G22" s="45">
        <f t="shared" si="17"/>
        <v>1098550</v>
      </c>
      <c r="H22" s="45">
        <f t="shared" si="17"/>
        <v>1098550</v>
      </c>
      <c r="I22" s="45">
        <f t="shared" si="17"/>
        <v>1098550</v>
      </c>
      <c r="J22" s="45">
        <f t="shared" si="17"/>
        <v>1098550</v>
      </c>
      <c r="K22" s="45">
        <f t="shared" si="17"/>
        <v>1098550</v>
      </c>
      <c r="L22" s="45">
        <f t="shared" si="17"/>
        <v>1098550</v>
      </c>
      <c r="M22" s="45">
        <f t="shared" si="17"/>
        <v>1098550</v>
      </c>
      <c r="N22" s="45">
        <f t="shared" si="17"/>
        <v>1098550</v>
      </c>
      <c r="O22" s="45">
        <f t="shared" si="17"/>
        <v>1098550</v>
      </c>
      <c r="P22" s="45">
        <f t="shared" si="17"/>
        <v>1098550</v>
      </c>
      <c r="Q22" s="45">
        <f t="shared" si="17"/>
        <v>1098550</v>
      </c>
      <c r="R22" s="45">
        <f t="shared" si="17"/>
        <v>1098550</v>
      </c>
      <c r="S22" s="45">
        <f t="shared" si="17"/>
        <v>1098550</v>
      </c>
      <c r="T22" s="45">
        <f t="shared" si="17"/>
        <v>1098550</v>
      </c>
      <c r="U22" s="45">
        <f t="shared" si="17"/>
        <v>1098550</v>
      </c>
      <c r="V22" s="45">
        <f t="shared" si="17"/>
        <v>1098550</v>
      </c>
      <c r="W22" s="45">
        <f t="shared" si="17"/>
        <v>1098550</v>
      </c>
      <c r="X22" s="45">
        <f t="shared" si="17"/>
        <v>1098550</v>
      </c>
      <c r="Y22" s="45">
        <f t="shared" si="17"/>
        <v>1098550</v>
      </c>
      <c r="Z22" s="45">
        <f t="shared" si="17"/>
        <v>1098550</v>
      </c>
      <c r="AA22" s="45">
        <f t="shared" si="17"/>
        <v>1098550</v>
      </c>
      <c r="AB22" s="45">
        <f t="shared" si="17"/>
        <v>1098550</v>
      </c>
      <c r="AC22" s="45">
        <f t="shared" si="17"/>
        <v>1098550</v>
      </c>
    </row>
    <row r="23" ht="15.75" customHeight="1" outlineLevel="1">
      <c r="A23" s="44"/>
      <c r="B23" s="30" t="s">
        <v>103</v>
      </c>
      <c r="C23" s="45">
        <f>C24+C25+C26+C27+C29</f>
        <v>1098550</v>
      </c>
      <c r="D23" s="46">
        <v>12.0</v>
      </c>
      <c r="E23" s="45">
        <f t="shared" ref="E23:AC23" si="18">E24+E25+E26+E27+E29</f>
        <v>13182600</v>
      </c>
      <c r="F23" s="45">
        <f t="shared" si="18"/>
        <v>1098550</v>
      </c>
      <c r="G23" s="45">
        <f t="shared" si="18"/>
        <v>1098550</v>
      </c>
      <c r="H23" s="45">
        <f t="shared" si="18"/>
        <v>1098550</v>
      </c>
      <c r="I23" s="45">
        <f t="shared" si="18"/>
        <v>1098550</v>
      </c>
      <c r="J23" s="45">
        <f t="shared" si="18"/>
        <v>1098550</v>
      </c>
      <c r="K23" s="45">
        <f t="shared" si="18"/>
        <v>1098550</v>
      </c>
      <c r="L23" s="45">
        <f t="shared" si="18"/>
        <v>1098550</v>
      </c>
      <c r="M23" s="45">
        <f t="shared" si="18"/>
        <v>1098550</v>
      </c>
      <c r="N23" s="45">
        <f t="shared" si="18"/>
        <v>1098550</v>
      </c>
      <c r="O23" s="45">
        <f t="shared" si="18"/>
        <v>1098550</v>
      </c>
      <c r="P23" s="45">
        <f t="shared" si="18"/>
        <v>1098550</v>
      </c>
      <c r="Q23" s="45">
        <f t="shared" si="18"/>
        <v>1098550</v>
      </c>
      <c r="R23" s="45">
        <f t="shared" si="18"/>
        <v>1098550</v>
      </c>
      <c r="S23" s="45">
        <f t="shared" si="18"/>
        <v>1098550</v>
      </c>
      <c r="T23" s="45">
        <f t="shared" si="18"/>
        <v>1098550</v>
      </c>
      <c r="U23" s="45">
        <f t="shared" si="18"/>
        <v>1098550</v>
      </c>
      <c r="V23" s="45">
        <f t="shared" si="18"/>
        <v>1098550</v>
      </c>
      <c r="W23" s="45">
        <f t="shared" si="18"/>
        <v>1098550</v>
      </c>
      <c r="X23" s="45">
        <f t="shared" si="18"/>
        <v>1098550</v>
      </c>
      <c r="Y23" s="45">
        <f t="shared" si="18"/>
        <v>1098550</v>
      </c>
      <c r="Z23" s="45">
        <f t="shared" si="18"/>
        <v>1098550</v>
      </c>
      <c r="AA23" s="45">
        <f t="shared" si="18"/>
        <v>1098550</v>
      </c>
      <c r="AB23" s="45">
        <f t="shared" si="18"/>
        <v>1098550</v>
      </c>
      <c r="AC23" s="45">
        <f t="shared" si="18"/>
        <v>1098550</v>
      </c>
    </row>
    <row r="24" ht="15.75" customHeight="1" outlineLevel="1">
      <c r="A24" s="44"/>
      <c r="B24" s="23" t="s">
        <v>104</v>
      </c>
      <c r="C24" s="47">
        <f>C13*0.1</f>
        <v>525000</v>
      </c>
      <c r="D24" s="46">
        <v>12.0</v>
      </c>
      <c r="E24" s="47">
        <f t="shared" ref="E24:E30" si="20">C24*D24</f>
        <v>6300000</v>
      </c>
      <c r="F24" s="47">
        <f t="shared" ref="F24:F30" si="21">C24</f>
        <v>525000</v>
      </c>
      <c r="G24" s="47">
        <f t="shared" ref="G24:AC24" si="19">F24</f>
        <v>525000</v>
      </c>
      <c r="H24" s="47">
        <f t="shared" si="19"/>
        <v>525000</v>
      </c>
      <c r="I24" s="47">
        <f t="shared" si="19"/>
        <v>525000</v>
      </c>
      <c r="J24" s="47">
        <f t="shared" si="19"/>
        <v>525000</v>
      </c>
      <c r="K24" s="47">
        <f t="shared" si="19"/>
        <v>525000</v>
      </c>
      <c r="L24" s="47">
        <f t="shared" si="19"/>
        <v>525000</v>
      </c>
      <c r="M24" s="47">
        <f t="shared" si="19"/>
        <v>525000</v>
      </c>
      <c r="N24" s="47">
        <f t="shared" si="19"/>
        <v>525000</v>
      </c>
      <c r="O24" s="47">
        <f t="shared" si="19"/>
        <v>525000</v>
      </c>
      <c r="P24" s="47">
        <f t="shared" si="19"/>
        <v>525000</v>
      </c>
      <c r="Q24" s="47">
        <f t="shared" si="19"/>
        <v>525000</v>
      </c>
      <c r="R24" s="47">
        <f t="shared" si="19"/>
        <v>525000</v>
      </c>
      <c r="S24" s="47">
        <f t="shared" si="19"/>
        <v>525000</v>
      </c>
      <c r="T24" s="47">
        <f t="shared" si="19"/>
        <v>525000</v>
      </c>
      <c r="U24" s="47">
        <f t="shared" si="19"/>
        <v>525000</v>
      </c>
      <c r="V24" s="47">
        <f t="shared" si="19"/>
        <v>525000</v>
      </c>
      <c r="W24" s="47">
        <f t="shared" si="19"/>
        <v>525000</v>
      </c>
      <c r="X24" s="47">
        <f t="shared" si="19"/>
        <v>525000</v>
      </c>
      <c r="Y24" s="47">
        <f t="shared" si="19"/>
        <v>525000</v>
      </c>
      <c r="Z24" s="47">
        <f t="shared" si="19"/>
        <v>525000</v>
      </c>
      <c r="AA24" s="47">
        <f t="shared" si="19"/>
        <v>525000</v>
      </c>
      <c r="AB24" s="47">
        <f t="shared" si="19"/>
        <v>525000</v>
      </c>
      <c r="AC24" s="47">
        <f t="shared" si="19"/>
        <v>525000</v>
      </c>
    </row>
    <row r="25" ht="15.75" customHeight="1" outlineLevel="1">
      <c r="A25" s="44"/>
      <c r="B25" s="23" t="s">
        <v>105</v>
      </c>
      <c r="C25" s="47">
        <f>(C13-C24)*0.05</f>
        <v>236250</v>
      </c>
      <c r="D25" s="46">
        <v>12.0</v>
      </c>
      <c r="E25" s="47">
        <f t="shared" si="20"/>
        <v>2835000</v>
      </c>
      <c r="F25" s="47">
        <f t="shared" si="21"/>
        <v>236250</v>
      </c>
      <c r="G25" s="47">
        <f t="shared" ref="G25:AC25" si="22">F25</f>
        <v>236250</v>
      </c>
      <c r="H25" s="47">
        <f t="shared" si="22"/>
        <v>236250</v>
      </c>
      <c r="I25" s="47">
        <f t="shared" si="22"/>
        <v>236250</v>
      </c>
      <c r="J25" s="47">
        <f t="shared" si="22"/>
        <v>236250</v>
      </c>
      <c r="K25" s="47">
        <f t="shared" si="22"/>
        <v>236250</v>
      </c>
      <c r="L25" s="47">
        <f t="shared" si="22"/>
        <v>236250</v>
      </c>
      <c r="M25" s="47">
        <f t="shared" si="22"/>
        <v>236250</v>
      </c>
      <c r="N25" s="47">
        <f t="shared" si="22"/>
        <v>236250</v>
      </c>
      <c r="O25" s="47">
        <f t="shared" si="22"/>
        <v>236250</v>
      </c>
      <c r="P25" s="47">
        <f t="shared" si="22"/>
        <v>236250</v>
      </c>
      <c r="Q25" s="47">
        <f t="shared" si="22"/>
        <v>236250</v>
      </c>
      <c r="R25" s="47">
        <f t="shared" si="22"/>
        <v>236250</v>
      </c>
      <c r="S25" s="47">
        <f t="shared" si="22"/>
        <v>236250</v>
      </c>
      <c r="T25" s="47">
        <f t="shared" si="22"/>
        <v>236250</v>
      </c>
      <c r="U25" s="47">
        <f t="shared" si="22"/>
        <v>236250</v>
      </c>
      <c r="V25" s="47">
        <f t="shared" si="22"/>
        <v>236250</v>
      </c>
      <c r="W25" s="47">
        <f t="shared" si="22"/>
        <v>236250</v>
      </c>
      <c r="X25" s="47">
        <f t="shared" si="22"/>
        <v>236250</v>
      </c>
      <c r="Y25" s="47">
        <f t="shared" si="22"/>
        <v>236250</v>
      </c>
      <c r="Z25" s="47">
        <f t="shared" si="22"/>
        <v>236250</v>
      </c>
      <c r="AA25" s="47">
        <f t="shared" si="22"/>
        <v>236250</v>
      </c>
      <c r="AB25" s="47">
        <f t="shared" si="22"/>
        <v>236250</v>
      </c>
      <c r="AC25" s="47">
        <f t="shared" si="22"/>
        <v>236250</v>
      </c>
    </row>
    <row r="26" ht="15.75" customHeight="1" outlineLevel="1">
      <c r="A26" s="44"/>
      <c r="B26" s="23" t="s">
        <v>106</v>
      </c>
      <c r="C26" s="47">
        <f>C13*0.02</f>
        <v>105000</v>
      </c>
      <c r="D26" s="46">
        <v>12.0</v>
      </c>
      <c r="E26" s="47">
        <f t="shared" si="20"/>
        <v>1260000</v>
      </c>
      <c r="F26" s="47">
        <f t="shared" si="21"/>
        <v>105000</v>
      </c>
      <c r="G26" s="47">
        <f t="shared" ref="G26:H26" si="23">F26</f>
        <v>105000</v>
      </c>
      <c r="H26" s="47">
        <f t="shared" si="23"/>
        <v>105000</v>
      </c>
      <c r="I26" s="47">
        <f t="shared" ref="I26:AC26" si="24">F26</f>
        <v>105000</v>
      </c>
      <c r="J26" s="47">
        <f t="shared" si="24"/>
        <v>105000</v>
      </c>
      <c r="K26" s="47">
        <f t="shared" si="24"/>
        <v>105000</v>
      </c>
      <c r="L26" s="47">
        <f t="shared" si="24"/>
        <v>105000</v>
      </c>
      <c r="M26" s="47">
        <f t="shared" si="24"/>
        <v>105000</v>
      </c>
      <c r="N26" s="47">
        <f t="shared" si="24"/>
        <v>105000</v>
      </c>
      <c r="O26" s="47">
        <f t="shared" si="24"/>
        <v>105000</v>
      </c>
      <c r="P26" s="47">
        <f t="shared" si="24"/>
        <v>105000</v>
      </c>
      <c r="Q26" s="47">
        <f t="shared" si="24"/>
        <v>105000</v>
      </c>
      <c r="R26" s="47">
        <f t="shared" si="24"/>
        <v>105000</v>
      </c>
      <c r="S26" s="47">
        <f t="shared" si="24"/>
        <v>105000</v>
      </c>
      <c r="T26" s="47">
        <f t="shared" si="24"/>
        <v>105000</v>
      </c>
      <c r="U26" s="47">
        <f t="shared" si="24"/>
        <v>105000</v>
      </c>
      <c r="V26" s="47">
        <f t="shared" si="24"/>
        <v>105000</v>
      </c>
      <c r="W26" s="47">
        <f t="shared" si="24"/>
        <v>105000</v>
      </c>
      <c r="X26" s="47">
        <f t="shared" si="24"/>
        <v>105000</v>
      </c>
      <c r="Y26" s="47">
        <f t="shared" si="24"/>
        <v>105000</v>
      </c>
      <c r="Z26" s="47">
        <f t="shared" si="24"/>
        <v>105000</v>
      </c>
      <c r="AA26" s="47">
        <f t="shared" si="24"/>
        <v>105000</v>
      </c>
      <c r="AB26" s="47">
        <f t="shared" si="24"/>
        <v>105000</v>
      </c>
      <c r="AC26" s="47">
        <f t="shared" si="24"/>
        <v>105000</v>
      </c>
    </row>
    <row r="27" ht="15.75" customHeight="1" outlineLevel="1">
      <c r="A27" s="44"/>
      <c r="B27" s="23" t="s">
        <v>107</v>
      </c>
      <c r="C27" s="47">
        <f>C13*0.03</f>
        <v>157500</v>
      </c>
      <c r="D27" s="46">
        <v>12.0</v>
      </c>
      <c r="E27" s="47">
        <f t="shared" si="20"/>
        <v>1890000</v>
      </c>
      <c r="F27" s="47">
        <f t="shared" si="21"/>
        <v>157500</v>
      </c>
      <c r="G27" s="47">
        <f t="shared" ref="G27:AC27" si="25">F27</f>
        <v>157500</v>
      </c>
      <c r="H27" s="47">
        <f t="shared" si="25"/>
        <v>157500</v>
      </c>
      <c r="I27" s="47">
        <f t="shared" si="25"/>
        <v>157500</v>
      </c>
      <c r="J27" s="47">
        <f t="shared" si="25"/>
        <v>157500</v>
      </c>
      <c r="K27" s="47">
        <f t="shared" si="25"/>
        <v>157500</v>
      </c>
      <c r="L27" s="47">
        <f t="shared" si="25"/>
        <v>157500</v>
      </c>
      <c r="M27" s="47">
        <f t="shared" si="25"/>
        <v>157500</v>
      </c>
      <c r="N27" s="47">
        <f t="shared" si="25"/>
        <v>157500</v>
      </c>
      <c r="O27" s="47">
        <f t="shared" si="25"/>
        <v>157500</v>
      </c>
      <c r="P27" s="47">
        <f t="shared" si="25"/>
        <v>157500</v>
      </c>
      <c r="Q27" s="47">
        <f t="shared" si="25"/>
        <v>157500</v>
      </c>
      <c r="R27" s="47">
        <f t="shared" si="25"/>
        <v>157500</v>
      </c>
      <c r="S27" s="47">
        <f t="shared" si="25"/>
        <v>157500</v>
      </c>
      <c r="T27" s="47">
        <f t="shared" si="25"/>
        <v>157500</v>
      </c>
      <c r="U27" s="47">
        <f t="shared" si="25"/>
        <v>157500</v>
      </c>
      <c r="V27" s="47">
        <f t="shared" si="25"/>
        <v>157500</v>
      </c>
      <c r="W27" s="47">
        <f t="shared" si="25"/>
        <v>157500</v>
      </c>
      <c r="X27" s="47">
        <f t="shared" si="25"/>
        <v>157500</v>
      </c>
      <c r="Y27" s="47">
        <f t="shared" si="25"/>
        <v>157500</v>
      </c>
      <c r="Z27" s="47">
        <f t="shared" si="25"/>
        <v>157500</v>
      </c>
      <c r="AA27" s="47">
        <f t="shared" si="25"/>
        <v>157500</v>
      </c>
      <c r="AB27" s="47">
        <f t="shared" si="25"/>
        <v>157500</v>
      </c>
      <c r="AC27" s="47">
        <f t="shared" si="25"/>
        <v>157500</v>
      </c>
    </row>
    <row r="28" ht="15.75" customHeight="1" outlineLevel="1">
      <c r="A28" s="44"/>
      <c r="B28" s="48" t="s">
        <v>108</v>
      </c>
      <c r="C28" s="49">
        <f>0.1*(C14-C24/9-C26/9)</f>
        <v>68000</v>
      </c>
      <c r="D28" s="60">
        <v>12.0</v>
      </c>
      <c r="E28" s="49">
        <f t="shared" si="20"/>
        <v>816000</v>
      </c>
      <c r="F28" s="49">
        <f t="shared" si="21"/>
        <v>68000</v>
      </c>
      <c r="G28" s="49">
        <f t="shared" ref="G28:AC28" si="26">F28</f>
        <v>68000</v>
      </c>
      <c r="H28" s="49">
        <f t="shared" si="26"/>
        <v>68000</v>
      </c>
      <c r="I28" s="49">
        <f t="shared" si="26"/>
        <v>68000</v>
      </c>
      <c r="J28" s="49">
        <f t="shared" si="26"/>
        <v>68000</v>
      </c>
      <c r="K28" s="49">
        <f t="shared" si="26"/>
        <v>68000</v>
      </c>
      <c r="L28" s="49">
        <f t="shared" si="26"/>
        <v>68000</v>
      </c>
      <c r="M28" s="49">
        <f t="shared" si="26"/>
        <v>68000</v>
      </c>
      <c r="N28" s="49">
        <f t="shared" si="26"/>
        <v>68000</v>
      </c>
      <c r="O28" s="49">
        <f t="shared" si="26"/>
        <v>68000</v>
      </c>
      <c r="P28" s="49">
        <f t="shared" si="26"/>
        <v>68000</v>
      </c>
      <c r="Q28" s="49">
        <f t="shared" si="26"/>
        <v>68000</v>
      </c>
      <c r="R28" s="49">
        <f t="shared" si="26"/>
        <v>68000</v>
      </c>
      <c r="S28" s="49">
        <f t="shared" si="26"/>
        <v>68000</v>
      </c>
      <c r="T28" s="49">
        <f t="shared" si="26"/>
        <v>68000</v>
      </c>
      <c r="U28" s="49">
        <f t="shared" si="26"/>
        <v>68000</v>
      </c>
      <c r="V28" s="49">
        <f t="shared" si="26"/>
        <v>68000</v>
      </c>
      <c r="W28" s="49">
        <f t="shared" si="26"/>
        <v>68000</v>
      </c>
      <c r="X28" s="49">
        <f t="shared" si="26"/>
        <v>68000</v>
      </c>
      <c r="Y28" s="49">
        <f t="shared" si="26"/>
        <v>68000</v>
      </c>
      <c r="Z28" s="49">
        <f t="shared" si="26"/>
        <v>68000</v>
      </c>
      <c r="AA28" s="49">
        <f t="shared" si="26"/>
        <v>68000</v>
      </c>
      <c r="AB28" s="49">
        <f t="shared" si="26"/>
        <v>68000</v>
      </c>
      <c r="AC28" s="49">
        <f t="shared" si="26"/>
        <v>68000</v>
      </c>
    </row>
    <row r="29" ht="15.75" customHeight="1" outlineLevel="1">
      <c r="A29" s="44"/>
      <c r="B29" s="23" t="s">
        <v>109</v>
      </c>
      <c r="C29" s="47">
        <f>(C14-(C24/9)-(C26/9))*0.11</f>
        <v>74800</v>
      </c>
      <c r="D29" s="46">
        <v>12.0</v>
      </c>
      <c r="E29" s="47">
        <f t="shared" si="20"/>
        <v>897600</v>
      </c>
      <c r="F29" s="47">
        <f t="shared" si="21"/>
        <v>74800</v>
      </c>
      <c r="G29" s="47">
        <f t="shared" ref="G29:AC29" si="27">F29</f>
        <v>74800</v>
      </c>
      <c r="H29" s="47">
        <f t="shared" si="27"/>
        <v>74800</v>
      </c>
      <c r="I29" s="47">
        <f t="shared" si="27"/>
        <v>74800</v>
      </c>
      <c r="J29" s="47">
        <f t="shared" si="27"/>
        <v>74800</v>
      </c>
      <c r="K29" s="47">
        <f t="shared" si="27"/>
        <v>74800</v>
      </c>
      <c r="L29" s="47">
        <f t="shared" si="27"/>
        <v>74800</v>
      </c>
      <c r="M29" s="47">
        <f t="shared" si="27"/>
        <v>74800</v>
      </c>
      <c r="N29" s="47">
        <f t="shared" si="27"/>
        <v>74800</v>
      </c>
      <c r="O29" s="47">
        <f t="shared" si="27"/>
        <v>74800</v>
      </c>
      <c r="P29" s="47">
        <f t="shared" si="27"/>
        <v>74800</v>
      </c>
      <c r="Q29" s="47">
        <f t="shared" si="27"/>
        <v>74800</v>
      </c>
      <c r="R29" s="47">
        <f t="shared" si="27"/>
        <v>74800</v>
      </c>
      <c r="S29" s="47">
        <f t="shared" si="27"/>
        <v>74800</v>
      </c>
      <c r="T29" s="47">
        <f t="shared" si="27"/>
        <v>74800</v>
      </c>
      <c r="U29" s="47">
        <f t="shared" si="27"/>
        <v>74800</v>
      </c>
      <c r="V29" s="47">
        <f t="shared" si="27"/>
        <v>74800</v>
      </c>
      <c r="W29" s="47">
        <f t="shared" si="27"/>
        <v>74800</v>
      </c>
      <c r="X29" s="47">
        <f t="shared" si="27"/>
        <v>74800</v>
      </c>
      <c r="Y29" s="47">
        <f t="shared" si="27"/>
        <v>74800</v>
      </c>
      <c r="Z29" s="47">
        <f t="shared" si="27"/>
        <v>74800</v>
      </c>
      <c r="AA29" s="47">
        <f t="shared" si="27"/>
        <v>74800</v>
      </c>
      <c r="AB29" s="47">
        <f t="shared" si="27"/>
        <v>74800</v>
      </c>
      <c r="AC29" s="47">
        <f t="shared" si="27"/>
        <v>74800</v>
      </c>
    </row>
    <row r="30" ht="15.75" customHeight="1" outlineLevel="1">
      <c r="A30" s="44"/>
      <c r="B30" s="61" t="s">
        <v>134</v>
      </c>
      <c r="C30" s="62">
        <f>C4*F4*F11*16%</f>
        <v>39980000</v>
      </c>
      <c r="D30" s="60">
        <v>12.0</v>
      </c>
      <c r="E30" s="62">
        <f t="shared" si="20"/>
        <v>479760000</v>
      </c>
      <c r="F30" s="62">
        <f t="shared" si="21"/>
        <v>39980000</v>
      </c>
      <c r="G30" s="62">
        <f t="shared" ref="G30:AC30" si="28">F30</f>
        <v>39980000</v>
      </c>
      <c r="H30" s="62">
        <f t="shared" si="28"/>
        <v>39980000</v>
      </c>
      <c r="I30" s="62">
        <f t="shared" si="28"/>
        <v>39980000</v>
      </c>
      <c r="J30" s="62">
        <f t="shared" si="28"/>
        <v>39980000</v>
      </c>
      <c r="K30" s="62">
        <f t="shared" si="28"/>
        <v>39980000</v>
      </c>
      <c r="L30" s="62">
        <f t="shared" si="28"/>
        <v>39980000</v>
      </c>
      <c r="M30" s="62">
        <f t="shared" si="28"/>
        <v>39980000</v>
      </c>
      <c r="N30" s="62">
        <f t="shared" si="28"/>
        <v>39980000</v>
      </c>
      <c r="O30" s="62">
        <f t="shared" si="28"/>
        <v>39980000</v>
      </c>
      <c r="P30" s="62">
        <f t="shared" si="28"/>
        <v>39980000</v>
      </c>
      <c r="Q30" s="62">
        <f t="shared" si="28"/>
        <v>39980000</v>
      </c>
      <c r="R30" s="62">
        <f t="shared" si="28"/>
        <v>39980000</v>
      </c>
      <c r="S30" s="62">
        <f t="shared" si="28"/>
        <v>39980000</v>
      </c>
      <c r="T30" s="62">
        <f t="shared" si="28"/>
        <v>39980000</v>
      </c>
      <c r="U30" s="62">
        <f t="shared" si="28"/>
        <v>39980000</v>
      </c>
      <c r="V30" s="62">
        <f t="shared" si="28"/>
        <v>39980000</v>
      </c>
      <c r="W30" s="62">
        <f t="shared" si="28"/>
        <v>39980000</v>
      </c>
      <c r="X30" s="62">
        <f t="shared" si="28"/>
        <v>39980000</v>
      </c>
      <c r="Y30" s="62">
        <f t="shared" si="28"/>
        <v>39980000</v>
      </c>
      <c r="Z30" s="62">
        <f t="shared" si="28"/>
        <v>39980000</v>
      </c>
      <c r="AA30" s="62">
        <f t="shared" si="28"/>
        <v>39980000</v>
      </c>
      <c r="AB30" s="62">
        <f t="shared" si="28"/>
        <v>39980000</v>
      </c>
      <c r="AC30" s="62">
        <f t="shared" si="28"/>
        <v>39980000</v>
      </c>
    </row>
    <row r="31" ht="15.75" customHeight="1" outlineLevel="1">
      <c r="A31" s="44"/>
      <c r="B31" s="30" t="s">
        <v>135</v>
      </c>
      <c r="C31" s="45"/>
      <c r="D31" s="46"/>
      <c r="E31" s="47"/>
      <c r="F31" s="63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</row>
    <row r="32" ht="15.75" customHeight="1" outlineLevel="1">
      <c r="A32" s="44"/>
      <c r="B32" s="30" t="s">
        <v>136</v>
      </c>
      <c r="C32" s="45"/>
      <c r="D32" s="46"/>
      <c r="E32" s="47"/>
      <c r="F32" s="23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</row>
    <row r="33" ht="15.75" customHeight="1" outlineLevel="1">
      <c r="A33" s="44" t="s">
        <v>48</v>
      </c>
      <c r="B33" s="30" t="s">
        <v>110</v>
      </c>
      <c r="C33" s="45">
        <f>230*F11</f>
        <v>115000</v>
      </c>
      <c r="D33" s="46">
        <v>12.0</v>
      </c>
      <c r="E33" s="47">
        <f>C33*D33</f>
        <v>1380000</v>
      </c>
      <c r="F33" s="47">
        <f>C33</f>
        <v>115000</v>
      </c>
      <c r="G33" s="47">
        <f t="shared" ref="G33:AC33" si="29">F33</f>
        <v>115000</v>
      </c>
      <c r="H33" s="47">
        <f t="shared" si="29"/>
        <v>115000</v>
      </c>
      <c r="I33" s="47">
        <f t="shared" si="29"/>
        <v>115000</v>
      </c>
      <c r="J33" s="47">
        <f t="shared" si="29"/>
        <v>115000</v>
      </c>
      <c r="K33" s="47">
        <f t="shared" si="29"/>
        <v>115000</v>
      </c>
      <c r="L33" s="47">
        <f t="shared" si="29"/>
        <v>115000</v>
      </c>
      <c r="M33" s="47">
        <f t="shared" si="29"/>
        <v>115000</v>
      </c>
      <c r="N33" s="47">
        <f t="shared" si="29"/>
        <v>115000</v>
      </c>
      <c r="O33" s="47">
        <f t="shared" si="29"/>
        <v>115000</v>
      </c>
      <c r="P33" s="47">
        <f t="shared" si="29"/>
        <v>115000</v>
      </c>
      <c r="Q33" s="47">
        <f t="shared" si="29"/>
        <v>115000</v>
      </c>
      <c r="R33" s="47">
        <f t="shared" si="29"/>
        <v>115000</v>
      </c>
      <c r="S33" s="47">
        <f t="shared" si="29"/>
        <v>115000</v>
      </c>
      <c r="T33" s="47">
        <f t="shared" si="29"/>
        <v>115000</v>
      </c>
      <c r="U33" s="47">
        <f t="shared" si="29"/>
        <v>115000</v>
      </c>
      <c r="V33" s="47">
        <f t="shared" si="29"/>
        <v>115000</v>
      </c>
      <c r="W33" s="47">
        <f t="shared" si="29"/>
        <v>115000</v>
      </c>
      <c r="X33" s="47">
        <f t="shared" si="29"/>
        <v>115000</v>
      </c>
      <c r="Y33" s="47">
        <f t="shared" si="29"/>
        <v>115000</v>
      </c>
      <c r="Z33" s="47">
        <f t="shared" si="29"/>
        <v>115000</v>
      </c>
      <c r="AA33" s="47">
        <f t="shared" si="29"/>
        <v>115000</v>
      </c>
      <c r="AB33" s="47">
        <f t="shared" si="29"/>
        <v>115000</v>
      </c>
      <c r="AC33" s="47">
        <f t="shared" si="29"/>
        <v>115000</v>
      </c>
    </row>
    <row r="34" ht="15.75" customHeight="1" outlineLevel="1">
      <c r="A34" s="44" t="s">
        <v>111</v>
      </c>
      <c r="B34" s="30" t="s">
        <v>137</v>
      </c>
      <c r="D34" s="46"/>
      <c r="E34" s="45">
        <f>50000*F11</f>
        <v>25000000</v>
      </c>
      <c r="F34" s="46"/>
      <c r="G34" s="47"/>
      <c r="H34" s="47"/>
      <c r="I34" s="47"/>
      <c r="J34" s="47"/>
      <c r="K34" s="47"/>
      <c r="L34" s="47"/>
      <c r="M34" s="47"/>
      <c r="N34" s="47"/>
      <c r="O34" s="47"/>
      <c r="P34" s="47">
        <f>E34/2</f>
        <v>12500000</v>
      </c>
      <c r="Q34" s="47">
        <f>E34/2</f>
        <v>12500000</v>
      </c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</row>
    <row r="35" ht="15.75" customHeight="1" outlineLevel="1">
      <c r="A35" s="44" t="s">
        <v>52</v>
      </c>
      <c r="B35" s="23" t="s">
        <v>113</v>
      </c>
      <c r="C35" s="45">
        <f>C22+C31+C32+C33+C13</f>
        <v>6463550</v>
      </c>
      <c r="D35" s="45"/>
      <c r="E35" s="45">
        <f t="shared" ref="E35:AC35" si="30">E22+E33+E13+E34</f>
        <v>102562600</v>
      </c>
      <c r="F35" s="45">
        <f t="shared" si="30"/>
        <v>6463550</v>
      </c>
      <c r="G35" s="45">
        <f t="shared" si="30"/>
        <v>6463550</v>
      </c>
      <c r="H35" s="45">
        <f t="shared" si="30"/>
        <v>6463550</v>
      </c>
      <c r="I35" s="45">
        <f t="shared" si="30"/>
        <v>6463550</v>
      </c>
      <c r="J35" s="45">
        <f t="shared" si="30"/>
        <v>6463550</v>
      </c>
      <c r="K35" s="45">
        <f t="shared" si="30"/>
        <v>6463550</v>
      </c>
      <c r="L35" s="45">
        <f t="shared" si="30"/>
        <v>6463550</v>
      </c>
      <c r="M35" s="45">
        <f t="shared" si="30"/>
        <v>6463550</v>
      </c>
      <c r="N35" s="45">
        <f t="shared" si="30"/>
        <v>6463550</v>
      </c>
      <c r="O35" s="45">
        <f t="shared" si="30"/>
        <v>6463550</v>
      </c>
      <c r="P35" s="45">
        <f t="shared" si="30"/>
        <v>18963550</v>
      </c>
      <c r="Q35" s="45">
        <f t="shared" si="30"/>
        <v>18963550</v>
      </c>
      <c r="R35" s="45">
        <f t="shared" si="30"/>
        <v>6463550</v>
      </c>
      <c r="S35" s="45">
        <f t="shared" si="30"/>
        <v>6463550</v>
      </c>
      <c r="T35" s="45">
        <f t="shared" si="30"/>
        <v>6463550</v>
      </c>
      <c r="U35" s="45">
        <f t="shared" si="30"/>
        <v>6463550</v>
      </c>
      <c r="V35" s="45">
        <f t="shared" si="30"/>
        <v>6463550</v>
      </c>
      <c r="W35" s="45">
        <f t="shared" si="30"/>
        <v>6463550</v>
      </c>
      <c r="X35" s="45">
        <f t="shared" si="30"/>
        <v>6463550</v>
      </c>
      <c r="Y35" s="45">
        <f t="shared" si="30"/>
        <v>6463550</v>
      </c>
      <c r="Z35" s="45">
        <f t="shared" si="30"/>
        <v>6463550</v>
      </c>
      <c r="AA35" s="45">
        <f t="shared" si="30"/>
        <v>6463550</v>
      </c>
      <c r="AB35" s="45">
        <f t="shared" si="30"/>
        <v>6463550</v>
      </c>
      <c r="AC35" s="45">
        <f t="shared" si="30"/>
        <v>6463550</v>
      </c>
    </row>
    <row r="36" ht="15.75" customHeight="1" outlineLevel="1">
      <c r="A36" s="44" t="s">
        <v>114</v>
      </c>
      <c r="B36" s="50" t="s">
        <v>115</v>
      </c>
      <c r="C36" s="27">
        <f>C35/F11</f>
        <v>12927.1</v>
      </c>
      <c r="D36" s="27"/>
      <c r="E36" s="27">
        <f>E35/F11</f>
        <v>205125.2</v>
      </c>
      <c r="F36" s="27">
        <f t="shared" ref="F36:AC36" si="31">F35/$F$11</f>
        <v>12927.1</v>
      </c>
      <c r="G36" s="27">
        <f t="shared" si="31"/>
        <v>12927.1</v>
      </c>
      <c r="H36" s="27">
        <f t="shared" si="31"/>
        <v>12927.1</v>
      </c>
      <c r="I36" s="27">
        <f t="shared" si="31"/>
        <v>12927.1</v>
      </c>
      <c r="J36" s="27">
        <f t="shared" si="31"/>
        <v>12927.1</v>
      </c>
      <c r="K36" s="27">
        <f t="shared" si="31"/>
        <v>12927.1</v>
      </c>
      <c r="L36" s="27">
        <f t="shared" si="31"/>
        <v>12927.1</v>
      </c>
      <c r="M36" s="27">
        <f t="shared" si="31"/>
        <v>12927.1</v>
      </c>
      <c r="N36" s="27">
        <f t="shared" si="31"/>
        <v>12927.1</v>
      </c>
      <c r="O36" s="27">
        <f t="shared" si="31"/>
        <v>12927.1</v>
      </c>
      <c r="P36" s="27">
        <f t="shared" si="31"/>
        <v>37927.1</v>
      </c>
      <c r="Q36" s="27">
        <f t="shared" si="31"/>
        <v>37927.1</v>
      </c>
      <c r="R36" s="27">
        <f t="shared" si="31"/>
        <v>12927.1</v>
      </c>
      <c r="S36" s="27">
        <f t="shared" si="31"/>
        <v>12927.1</v>
      </c>
      <c r="T36" s="27">
        <f t="shared" si="31"/>
        <v>12927.1</v>
      </c>
      <c r="U36" s="27">
        <f t="shared" si="31"/>
        <v>12927.1</v>
      </c>
      <c r="V36" s="27">
        <f t="shared" si="31"/>
        <v>12927.1</v>
      </c>
      <c r="W36" s="27">
        <f t="shared" si="31"/>
        <v>12927.1</v>
      </c>
      <c r="X36" s="27">
        <f t="shared" si="31"/>
        <v>12927.1</v>
      </c>
      <c r="Y36" s="27">
        <f t="shared" si="31"/>
        <v>12927.1</v>
      </c>
      <c r="Z36" s="27">
        <f t="shared" si="31"/>
        <v>12927.1</v>
      </c>
      <c r="AA36" s="27">
        <f t="shared" si="31"/>
        <v>12927.1</v>
      </c>
      <c r="AB36" s="27">
        <f t="shared" si="31"/>
        <v>12927.1</v>
      </c>
      <c r="AC36" s="27">
        <f t="shared" si="31"/>
        <v>12927.1</v>
      </c>
    </row>
    <row r="37" ht="15.75" customHeight="1">
      <c r="E37" s="51"/>
    </row>
    <row r="38" ht="15.0" customHeight="1">
      <c r="A38" s="64"/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4"/>
    </row>
    <row r="39" ht="13.5" customHeight="1">
      <c r="A39" s="64"/>
      <c r="B39" s="64"/>
      <c r="C39" s="65"/>
      <c r="D39" s="64"/>
      <c r="E39" s="65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</row>
    <row r="40" ht="12.0" customHeight="1">
      <c r="A40" s="64"/>
      <c r="B40" s="66" t="s">
        <v>138</v>
      </c>
      <c r="C40" s="65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</row>
    <row r="41" ht="12.0" customHeight="1">
      <c r="A41" s="64"/>
      <c r="B41" s="64"/>
      <c r="C41" s="65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</row>
    <row r="42" ht="15.75" customHeight="1"/>
    <row r="43" ht="15.75" customHeight="1">
      <c r="B43" s="67" t="s">
        <v>117</v>
      </c>
      <c r="C43" s="68" t="s">
        <v>139</v>
      </c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53"/>
      <c r="O43" s="52" t="s">
        <v>140</v>
      </c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53"/>
      <c r="AA43" s="70"/>
      <c r="AB43" s="71"/>
      <c r="AC43" s="71"/>
      <c r="AD43" s="71"/>
      <c r="AE43" s="71"/>
      <c r="AF43" s="71"/>
    </row>
    <row r="44" ht="15.75" customHeight="1">
      <c r="B44" s="72"/>
      <c r="C44" s="73" t="s">
        <v>141</v>
      </c>
      <c r="D44" s="73" t="s">
        <v>142</v>
      </c>
      <c r="E44" s="73" t="s">
        <v>143</v>
      </c>
      <c r="F44" s="73" t="s">
        <v>144</v>
      </c>
      <c r="G44" s="73" t="s">
        <v>145</v>
      </c>
      <c r="H44" s="73" t="s">
        <v>146</v>
      </c>
      <c r="I44" s="73" t="s">
        <v>147</v>
      </c>
      <c r="J44" s="73" t="s">
        <v>148</v>
      </c>
      <c r="K44" s="73" t="s">
        <v>149</v>
      </c>
      <c r="L44" s="73" t="s">
        <v>150</v>
      </c>
      <c r="M44" s="73" t="s">
        <v>151</v>
      </c>
      <c r="N44" s="73" t="s">
        <v>152</v>
      </c>
      <c r="O44" s="73" t="s">
        <v>153</v>
      </c>
      <c r="P44" s="73" t="s">
        <v>154</v>
      </c>
      <c r="Q44" s="73" t="s">
        <v>155</v>
      </c>
      <c r="R44" s="73" t="s">
        <v>156</v>
      </c>
      <c r="S44" s="73" t="s">
        <v>157</v>
      </c>
      <c r="T44" s="73" t="s">
        <v>158</v>
      </c>
      <c r="U44" s="73" t="s">
        <v>159</v>
      </c>
      <c r="V44" s="73" t="s">
        <v>160</v>
      </c>
      <c r="W44" s="73" t="s">
        <v>161</v>
      </c>
      <c r="X44" s="73" t="s">
        <v>162</v>
      </c>
      <c r="Y44" s="73" t="s">
        <v>163</v>
      </c>
      <c r="Z44" s="74" t="s">
        <v>164</v>
      </c>
      <c r="AA44" s="75"/>
      <c r="AB44" s="76"/>
      <c r="AC44" s="76"/>
      <c r="AD44" s="76"/>
      <c r="AE44" s="76"/>
      <c r="AF44" s="76"/>
    </row>
    <row r="45" ht="15.75" customHeight="1">
      <c r="B45" s="77" t="s">
        <v>165</v>
      </c>
      <c r="C45" s="73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78"/>
      <c r="AA45" s="79"/>
      <c r="AB45" s="5"/>
      <c r="AC45" s="5"/>
      <c r="AD45" s="5"/>
      <c r="AE45" s="5"/>
      <c r="AF45" s="5"/>
    </row>
    <row r="46" ht="15.75" customHeight="1">
      <c r="B46" s="80" t="s">
        <v>166</v>
      </c>
      <c r="C46" s="81">
        <f t="shared" ref="C46:Z46" si="32">C47</f>
        <v>0</v>
      </c>
      <c r="D46" s="81">
        <f t="shared" si="32"/>
        <v>0</v>
      </c>
      <c r="E46" s="81">
        <f t="shared" si="32"/>
        <v>0</v>
      </c>
      <c r="F46" s="81">
        <f t="shared" si="32"/>
        <v>0</v>
      </c>
      <c r="G46" s="81">
        <f t="shared" si="32"/>
        <v>0</v>
      </c>
      <c r="H46" s="81">
        <f t="shared" si="32"/>
        <v>0</v>
      </c>
      <c r="I46" s="81">
        <f t="shared" si="32"/>
        <v>0</v>
      </c>
      <c r="J46" s="81">
        <f t="shared" si="32"/>
        <v>0</v>
      </c>
      <c r="K46" s="81">
        <f t="shared" si="32"/>
        <v>0</v>
      </c>
      <c r="L46" s="81">
        <f t="shared" si="32"/>
        <v>0</v>
      </c>
      <c r="M46" s="81">
        <f t="shared" si="32"/>
        <v>0</v>
      </c>
      <c r="N46" s="81">
        <f t="shared" si="32"/>
        <v>0</v>
      </c>
      <c r="O46" s="81">
        <f t="shared" si="32"/>
        <v>172413750</v>
      </c>
      <c r="P46" s="81">
        <f t="shared" si="32"/>
        <v>172413750</v>
      </c>
      <c r="Q46" s="81">
        <f t="shared" si="32"/>
        <v>172413750</v>
      </c>
      <c r="R46" s="81">
        <f t="shared" si="32"/>
        <v>172413750</v>
      </c>
      <c r="S46" s="81">
        <f t="shared" si="32"/>
        <v>172413750</v>
      </c>
      <c r="T46" s="81">
        <f t="shared" si="32"/>
        <v>172413750</v>
      </c>
      <c r="U46" s="55">
        <f t="shared" si="32"/>
        <v>172413750</v>
      </c>
      <c r="V46" s="55">
        <f t="shared" si="32"/>
        <v>172413750</v>
      </c>
      <c r="W46" s="55">
        <f t="shared" si="32"/>
        <v>172413750</v>
      </c>
      <c r="X46" s="55">
        <f t="shared" si="32"/>
        <v>172413750</v>
      </c>
      <c r="Y46" s="55">
        <f t="shared" si="32"/>
        <v>172413750</v>
      </c>
      <c r="Z46" s="82">
        <f t="shared" si="32"/>
        <v>172413750</v>
      </c>
      <c r="AA46" s="83"/>
      <c r="AB46" s="56"/>
      <c r="AC46" s="56"/>
      <c r="AD46" s="56"/>
      <c r="AE46" s="56"/>
      <c r="AF46" s="56"/>
    </row>
    <row r="47" ht="15.75" customHeight="1">
      <c r="B47" s="84" t="s">
        <v>167</v>
      </c>
      <c r="C47" s="84">
        <f t="shared" ref="C47:N47" si="33">0</f>
        <v>0</v>
      </c>
      <c r="D47" s="84">
        <f t="shared" si="33"/>
        <v>0</v>
      </c>
      <c r="E47" s="84">
        <f t="shared" si="33"/>
        <v>0</v>
      </c>
      <c r="F47" s="84">
        <f t="shared" si="33"/>
        <v>0</v>
      </c>
      <c r="G47" s="84">
        <f t="shared" si="33"/>
        <v>0</v>
      </c>
      <c r="H47" s="84">
        <f t="shared" si="33"/>
        <v>0</v>
      </c>
      <c r="I47" s="84">
        <f t="shared" si="33"/>
        <v>0</v>
      </c>
      <c r="J47" s="84">
        <f t="shared" si="33"/>
        <v>0</v>
      </c>
      <c r="K47" s="84">
        <f t="shared" si="33"/>
        <v>0</v>
      </c>
      <c r="L47" s="84">
        <f t="shared" si="33"/>
        <v>0</v>
      </c>
      <c r="M47" s="84">
        <f t="shared" si="33"/>
        <v>0</v>
      </c>
      <c r="N47" s="84">
        <f t="shared" si="33"/>
        <v>0</v>
      </c>
      <c r="O47" s="85">
        <f t="shared" ref="O47:Z47" si="34">H8</f>
        <v>172413750</v>
      </c>
      <c r="P47" s="85">
        <f t="shared" si="34"/>
        <v>172413750</v>
      </c>
      <c r="Q47" s="85">
        <f t="shared" si="34"/>
        <v>172413750</v>
      </c>
      <c r="R47" s="85">
        <f t="shared" si="34"/>
        <v>172413750</v>
      </c>
      <c r="S47" s="85">
        <f t="shared" si="34"/>
        <v>172413750</v>
      </c>
      <c r="T47" s="85">
        <f t="shared" si="34"/>
        <v>172413750</v>
      </c>
      <c r="U47" s="85">
        <f t="shared" si="34"/>
        <v>172413750</v>
      </c>
      <c r="V47" s="85">
        <f t="shared" si="34"/>
        <v>172413750</v>
      </c>
      <c r="W47" s="85">
        <f t="shared" si="34"/>
        <v>172413750</v>
      </c>
      <c r="X47" s="85">
        <f t="shared" si="34"/>
        <v>172413750</v>
      </c>
      <c r="Y47" s="85">
        <f t="shared" si="34"/>
        <v>172413750</v>
      </c>
      <c r="Z47" s="85">
        <f t="shared" si="34"/>
        <v>172413750</v>
      </c>
      <c r="AA47" s="83"/>
      <c r="AB47" s="56"/>
      <c r="AC47" s="56"/>
      <c r="AD47" s="56"/>
      <c r="AE47" s="56"/>
      <c r="AF47" s="56"/>
    </row>
    <row r="48" ht="15.75" customHeight="1">
      <c r="B48" s="86" t="s">
        <v>168</v>
      </c>
      <c r="C48" s="87">
        <f t="shared" ref="C48:Z48" si="35">SUM(C47)</f>
        <v>0</v>
      </c>
      <c r="D48" s="87">
        <f t="shared" si="35"/>
        <v>0</v>
      </c>
      <c r="E48" s="87">
        <f t="shared" si="35"/>
        <v>0</v>
      </c>
      <c r="F48" s="87">
        <f t="shared" si="35"/>
        <v>0</v>
      </c>
      <c r="G48" s="87">
        <f t="shared" si="35"/>
        <v>0</v>
      </c>
      <c r="H48" s="87">
        <f t="shared" si="35"/>
        <v>0</v>
      </c>
      <c r="I48" s="87">
        <f t="shared" si="35"/>
        <v>0</v>
      </c>
      <c r="J48" s="87">
        <f t="shared" si="35"/>
        <v>0</v>
      </c>
      <c r="K48" s="87">
        <f t="shared" si="35"/>
        <v>0</v>
      </c>
      <c r="L48" s="87">
        <f t="shared" si="35"/>
        <v>0</v>
      </c>
      <c r="M48" s="87">
        <f t="shared" si="35"/>
        <v>0</v>
      </c>
      <c r="N48" s="87">
        <f t="shared" si="35"/>
        <v>0</v>
      </c>
      <c r="O48" s="87">
        <f t="shared" si="35"/>
        <v>172413750</v>
      </c>
      <c r="P48" s="87">
        <f t="shared" si="35"/>
        <v>172413750</v>
      </c>
      <c r="Q48" s="87">
        <f t="shared" si="35"/>
        <v>172413750</v>
      </c>
      <c r="R48" s="87">
        <f t="shared" si="35"/>
        <v>172413750</v>
      </c>
      <c r="S48" s="87">
        <f t="shared" si="35"/>
        <v>172413750</v>
      </c>
      <c r="T48" s="87">
        <f t="shared" si="35"/>
        <v>172413750</v>
      </c>
      <c r="U48" s="87">
        <f t="shared" si="35"/>
        <v>172413750</v>
      </c>
      <c r="V48" s="87">
        <f t="shared" si="35"/>
        <v>172413750</v>
      </c>
      <c r="W48" s="87">
        <f t="shared" si="35"/>
        <v>172413750</v>
      </c>
      <c r="X48" s="87">
        <f t="shared" si="35"/>
        <v>172413750</v>
      </c>
      <c r="Y48" s="87">
        <f t="shared" si="35"/>
        <v>172413750</v>
      </c>
      <c r="Z48" s="88">
        <f t="shared" si="35"/>
        <v>172413750</v>
      </c>
      <c r="AA48" s="89"/>
      <c r="AB48" s="90"/>
      <c r="AC48" s="90"/>
      <c r="AD48" s="90"/>
      <c r="AE48" s="90"/>
      <c r="AF48" s="90"/>
    </row>
    <row r="49" ht="15.75" customHeight="1">
      <c r="B49" s="80" t="s">
        <v>169</v>
      </c>
      <c r="C49" s="91">
        <f t="shared" ref="C49:Z49" si="36">C50</f>
        <v>0</v>
      </c>
      <c r="D49" s="91">
        <f t="shared" si="36"/>
        <v>0</v>
      </c>
      <c r="E49" s="91">
        <f t="shared" si="36"/>
        <v>0</v>
      </c>
      <c r="F49" s="91">
        <f t="shared" si="36"/>
        <v>0</v>
      </c>
      <c r="G49" s="91">
        <f t="shared" si="36"/>
        <v>0</v>
      </c>
      <c r="H49" s="91">
        <f t="shared" si="36"/>
        <v>0</v>
      </c>
      <c r="I49" s="91">
        <f t="shared" si="36"/>
        <v>0</v>
      </c>
      <c r="J49" s="91">
        <f t="shared" si="36"/>
        <v>0</v>
      </c>
      <c r="K49" s="91">
        <f t="shared" si="36"/>
        <v>0</v>
      </c>
      <c r="L49" s="91">
        <f t="shared" si="36"/>
        <v>0</v>
      </c>
      <c r="M49" s="91">
        <f t="shared" si="36"/>
        <v>0</v>
      </c>
      <c r="N49" s="91">
        <f t="shared" si="36"/>
        <v>0</v>
      </c>
      <c r="O49" s="91">
        <f t="shared" si="36"/>
        <v>6463550</v>
      </c>
      <c r="P49" s="91">
        <f t="shared" si="36"/>
        <v>6463550</v>
      </c>
      <c r="Q49" s="91">
        <f t="shared" si="36"/>
        <v>6463550</v>
      </c>
      <c r="R49" s="91">
        <f t="shared" si="36"/>
        <v>6463550</v>
      </c>
      <c r="S49" s="91">
        <f t="shared" si="36"/>
        <v>6463550</v>
      </c>
      <c r="T49" s="91">
        <f t="shared" si="36"/>
        <v>6463550</v>
      </c>
      <c r="U49" s="91">
        <f t="shared" si="36"/>
        <v>6463550</v>
      </c>
      <c r="V49" s="91">
        <f t="shared" si="36"/>
        <v>6463550</v>
      </c>
      <c r="W49" s="91">
        <f t="shared" si="36"/>
        <v>6463550</v>
      </c>
      <c r="X49" s="91">
        <f t="shared" si="36"/>
        <v>6463550</v>
      </c>
      <c r="Y49" s="91">
        <f t="shared" si="36"/>
        <v>6463550</v>
      </c>
      <c r="Z49" s="91">
        <f t="shared" si="36"/>
        <v>6463550</v>
      </c>
      <c r="AA49" s="92"/>
      <c r="AB49" s="93"/>
      <c r="AC49" s="93"/>
      <c r="AD49" s="93"/>
      <c r="AE49" s="93"/>
      <c r="AF49" s="93"/>
    </row>
    <row r="50" ht="12.75" customHeight="1">
      <c r="B50" s="54" t="s">
        <v>170</v>
      </c>
      <c r="C50" s="54">
        <v>0.0</v>
      </c>
      <c r="D50" s="54">
        <v>0.0</v>
      </c>
      <c r="E50" s="54">
        <v>0.0</v>
      </c>
      <c r="F50" s="54">
        <v>0.0</v>
      </c>
      <c r="G50" s="54">
        <v>0.0</v>
      </c>
      <c r="H50" s="54">
        <v>0.0</v>
      </c>
      <c r="I50" s="54">
        <v>0.0</v>
      </c>
      <c r="J50" s="54">
        <v>0.0</v>
      </c>
      <c r="K50" s="54">
        <v>0.0</v>
      </c>
      <c r="L50" s="54">
        <v>0.0</v>
      </c>
      <c r="M50" s="54">
        <v>0.0</v>
      </c>
      <c r="N50" s="54">
        <v>0.0</v>
      </c>
      <c r="O50" s="55">
        <f t="shared" ref="O50:Z50" si="37">R35</f>
        <v>6463550</v>
      </c>
      <c r="P50" s="55">
        <f t="shared" si="37"/>
        <v>6463550</v>
      </c>
      <c r="Q50" s="55">
        <f t="shared" si="37"/>
        <v>6463550</v>
      </c>
      <c r="R50" s="55">
        <f t="shared" si="37"/>
        <v>6463550</v>
      </c>
      <c r="S50" s="55">
        <f t="shared" si="37"/>
        <v>6463550</v>
      </c>
      <c r="T50" s="55">
        <f t="shared" si="37"/>
        <v>6463550</v>
      </c>
      <c r="U50" s="55">
        <f t="shared" si="37"/>
        <v>6463550</v>
      </c>
      <c r="V50" s="55">
        <f t="shared" si="37"/>
        <v>6463550</v>
      </c>
      <c r="W50" s="55">
        <f t="shared" si="37"/>
        <v>6463550</v>
      </c>
      <c r="X50" s="55">
        <f t="shared" si="37"/>
        <v>6463550</v>
      </c>
      <c r="Y50" s="55">
        <f t="shared" si="37"/>
        <v>6463550</v>
      </c>
      <c r="Z50" s="55">
        <f t="shared" si="37"/>
        <v>6463550</v>
      </c>
      <c r="AA50" s="79"/>
      <c r="AB50" s="5"/>
      <c r="AC50" s="5"/>
      <c r="AD50" s="5"/>
      <c r="AE50" s="5"/>
      <c r="AF50" s="5"/>
    </row>
    <row r="51" ht="15.75" customHeight="1">
      <c r="B51" s="86" t="s">
        <v>171</v>
      </c>
      <c r="C51" s="87">
        <f t="shared" ref="C51:Z51" si="38">C49</f>
        <v>0</v>
      </c>
      <c r="D51" s="87">
        <f t="shared" si="38"/>
        <v>0</v>
      </c>
      <c r="E51" s="87">
        <f t="shared" si="38"/>
        <v>0</v>
      </c>
      <c r="F51" s="87">
        <f t="shared" si="38"/>
        <v>0</v>
      </c>
      <c r="G51" s="87">
        <f t="shared" si="38"/>
        <v>0</v>
      </c>
      <c r="H51" s="87">
        <f t="shared" si="38"/>
        <v>0</v>
      </c>
      <c r="I51" s="87">
        <f t="shared" si="38"/>
        <v>0</v>
      </c>
      <c r="J51" s="87">
        <f t="shared" si="38"/>
        <v>0</v>
      </c>
      <c r="K51" s="87">
        <f t="shared" si="38"/>
        <v>0</v>
      </c>
      <c r="L51" s="87">
        <f t="shared" si="38"/>
        <v>0</v>
      </c>
      <c r="M51" s="87">
        <f t="shared" si="38"/>
        <v>0</v>
      </c>
      <c r="N51" s="87">
        <f t="shared" si="38"/>
        <v>0</v>
      </c>
      <c r="O51" s="87">
        <f t="shared" si="38"/>
        <v>6463550</v>
      </c>
      <c r="P51" s="87">
        <f t="shared" si="38"/>
        <v>6463550</v>
      </c>
      <c r="Q51" s="87">
        <f t="shared" si="38"/>
        <v>6463550</v>
      </c>
      <c r="R51" s="87">
        <f t="shared" si="38"/>
        <v>6463550</v>
      </c>
      <c r="S51" s="87">
        <f t="shared" si="38"/>
        <v>6463550</v>
      </c>
      <c r="T51" s="87">
        <f t="shared" si="38"/>
        <v>6463550</v>
      </c>
      <c r="U51" s="87">
        <f t="shared" si="38"/>
        <v>6463550</v>
      </c>
      <c r="V51" s="87">
        <f t="shared" si="38"/>
        <v>6463550</v>
      </c>
      <c r="W51" s="87">
        <f t="shared" si="38"/>
        <v>6463550</v>
      </c>
      <c r="X51" s="87">
        <f t="shared" si="38"/>
        <v>6463550</v>
      </c>
      <c r="Y51" s="87">
        <f t="shared" si="38"/>
        <v>6463550</v>
      </c>
      <c r="Z51" s="88">
        <f t="shared" si="38"/>
        <v>6463550</v>
      </c>
      <c r="AA51" s="89"/>
      <c r="AB51" s="90"/>
      <c r="AC51" s="90"/>
      <c r="AD51" s="90"/>
      <c r="AE51" s="90"/>
      <c r="AF51" s="90"/>
    </row>
    <row r="52" ht="15.75" customHeight="1">
      <c r="B52" s="94" t="s">
        <v>172</v>
      </c>
      <c r="C52" s="91">
        <f t="shared" ref="C52:Z52" si="39">C48-C51</f>
        <v>0</v>
      </c>
      <c r="D52" s="91">
        <f t="shared" si="39"/>
        <v>0</v>
      </c>
      <c r="E52" s="91">
        <f t="shared" si="39"/>
        <v>0</v>
      </c>
      <c r="F52" s="91">
        <f t="shared" si="39"/>
        <v>0</v>
      </c>
      <c r="G52" s="91">
        <f t="shared" si="39"/>
        <v>0</v>
      </c>
      <c r="H52" s="91">
        <f t="shared" si="39"/>
        <v>0</v>
      </c>
      <c r="I52" s="91">
        <f t="shared" si="39"/>
        <v>0</v>
      </c>
      <c r="J52" s="91">
        <f t="shared" si="39"/>
        <v>0</v>
      </c>
      <c r="K52" s="91">
        <f t="shared" si="39"/>
        <v>0</v>
      </c>
      <c r="L52" s="91">
        <f t="shared" si="39"/>
        <v>0</v>
      </c>
      <c r="M52" s="91">
        <f t="shared" si="39"/>
        <v>0</v>
      </c>
      <c r="N52" s="91">
        <f t="shared" si="39"/>
        <v>0</v>
      </c>
      <c r="O52" s="91">
        <f t="shared" si="39"/>
        <v>165950200</v>
      </c>
      <c r="P52" s="91">
        <f t="shared" si="39"/>
        <v>165950200</v>
      </c>
      <c r="Q52" s="91">
        <f t="shared" si="39"/>
        <v>165950200</v>
      </c>
      <c r="R52" s="91">
        <f t="shared" si="39"/>
        <v>165950200</v>
      </c>
      <c r="S52" s="91">
        <f t="shared" si="39"/>
        <v>165950200</v>
      </c>
      <c r="T52" s="91">
        <f t="shared" si="39"/>
        <v>165950200</v>
      </c>
      <c r="U52" s="91">
        <f t="shared" si="39"/>
        <v>165950200</v>
      </c>
      <c r="V52" s="91">
        <f t="shared" si="39"/>
        <v>165950200</v>
      </c>
      <c r="W52" s="91">
        <f t="shared" si="39"/>
        <v>165950200</v>
      </c>
      <c r="X52" s="91">
        <f t="shared" si="39"/>
        <v>165950200</v>
      </c>
      <c r="Y52" s="91">
        <f t="shared" si="39"/>
        <v>165950200</v>
      </c>
      <c r="Z52" s="95">
        <f t="shared" si="39"/>
        <v>165950200</v>
      </c>
      <c r="AA52" s="92"/>
      <c r="AB52" s="93"/>
      <c r="AC52" s="93"/>
      <c r="AD52" s="93"/>
      <c r="AE52" s="93"/>
      <c r="AF52" s="93"/>
    </row>
    <row r="53" ht="15.75" customHeight="1">
      <c r="B53" s="84"/>
      <c r="C53" s="85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78"/>
      <c r="AA53" s="79"/>
      <c r="AB53" s="5"/>
      <c r="AC53" s="5"/>
      <c r="AD53" s="5"/>
      <c r="AE53" s="5"/>
      <c r="AF53" s="5"/>
    </row>
    <row r="54" ht="15.75" customHeight="1">
      <c r="B54" s="77" t="s">
        <v>173</v>
      </c>
      <c r="C54" s="73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78"/>
      <c r="AA54" s="79"/>
      <c r="AB54" s="5"/>
      <c r="AC54" s="5"/>
      <c r="AD54" s="5"/>
      <c r="AE54" s="5"/>
      <c r="AF54" s="5"/>
    </row>
    <row r="55" ht="15.75" customHeight="1">
      <c r="B55" s="80" t="s">
        <v>166</v>
      </c>
      <c r="C55" s="81">
        <v>0.0</v>
      </c>
      <c r="D55" s="81">
        <v>0.0</v>
      </c>
      <c r="E55" s="81">
        <v>0.0</v>
      </c>
      <c r="F55" s="81">
        <v>0.0</v>
      </c>
      <c r="G55" s="81">
        <v>0.0</v>
      </c>
      <c r="H55" s="81">
        <v>0.0</v>
      </c>
      <c r="I55" s="81">
        <v>0.0</v>
      </c>
      <c r="J55" s="81">
        <v>0.0</v>
      </c>
      <c r="K55" s="81">
        <v>0.0</v>
      </c>
      <c r="L55" s="81">
        <v>0.0</v>
      </c>
      <c r="M55" s="81">
        <v>0.0</v>
      </c>
      <c r="N55" s="81">
        <v>0.0</v>
      </c>
      <c r="O55" s="81">
        <v>0.0</v>
      </c>
      <c r="P55" s="81">
        <v>0.0</v>
      </c>
      <c r="Q55" s="81">
        <v>0.0</v>
      </c>
      <c r="R55" s="81">
        <v>0.0</v>
      </c>
      <c r="S55" s="81">
        <v>0.0</v>
      </c>
      <c r="T55" s="81">
        <v>0.0</v>
      </c>
      <c r="U55" s="81">
        <v>0.0</v>
      </c>
      <c r="V55" s="81">
        <v>0.0</v>
      </c>
      <c r="W55" s="81">
        <v>0.0</v>
      </c>
      <c r="X55" s="81">
        <v>0.0</v>
      </c>
      <c r="Y55" s="81">
        <v>0.0</v>
      </c>
      <c r="Z55" s="96">
        <v>0.0</v>
      </c>
      <c r="AA55" s="97"/>
      <c r="AB55" s="98"/>
      <c r="AC55" s="98"/>
      <c r="AD55" s="98"/>
      <c r="AE55" s="98"/>
      <c r="AF55" s="98"/>
    </row>
    <row r="56" ht="15.75" customHeight="1">
      <c r="B56" s="86" t="s">
        <v>168</v>
      </c>
      <c r="C56" s="87">
        <f t="shared" ref="C56:Z56" si="40">C55</f>
        <v>0</v>
      </c>
      <c r="D56" s="87">
        <f t="shared" si="40"/>
        <v>0</v>
      </c>
      <c r="E56" s="87">
        <f t="shared" si="40"/>
        <v>0</v>
      </c>
      <c r="F56" s="87">
        <f t="shared" si="40"/>
        <v>0</v>
      </c>
      <c r="G56" s="87">
        <f t="shared" si="40"/>
        <v>0</v>
      </c>
      <c r="H56" s="87">
        <f t="shared" si="40"/>
        <v>0</v>
      </c>
      <c r="I56" s="87">
        <f t="shared" si="40"/>
        <v>0</v>
      </c>
      <c r="J56" s="87">
        <f t="shared" si="40"/>
        <v>0</v>
      </c>
      <c r="K56" s="87">
        <f t="shared" si="40"/>
        <v>0</v>
      </c>
      <c r="L56" s="87">
        <f t="shared" si="40"/>
        <v>0</v>
      </c>
      <c r="M56" s="87">
        <f t="shared" si="40"/>
        <v>0</v>
      </c>
      <c r="N56" s="87">
        <f t="shared" si="40"/>
        <v>0</v>
      </c>
      <c r="O56" s="87">
        <f t="shared" si="40"/>
        <v>0</v>
      </c>
      <c r="P56" s="87">
        <f t="shared" si="40"/>
        <v>0</v>
      </c>
      <c r="Q56" s="87">
        <f t="shared" si="40"/>
        <v>0</v>
      </c>
      <c r="R56" s="87">
        <f t="shared" si="40"/>
        <v>0</v>
      </c>
      <c r="S56" s="87">
        <f t="shared" si="40"/>
        <v>0</v>
      </c>
      <c r="T56" s="87">
        <f t="shared" si="40"/>
        <v>0</v>
      </c>
      <c r="U56" s="87">
        <f t="shared" si="40"/>
        <v>0</v>
      </c>
      <c r="V56" s="87">
        <f t="shared" si="40"/>
        <v>0</v>
      </c>
      <c r="W56" s="87">
        <f t="shared" si="40"/>
        <v>0</v>
      </c>
      <c r="X56" s="87">
        <f t="shared" si="40"/>
        <v>0</v>
      </c>
      <c r="Y56" s="87">
        <f t="shared" si="40"/>
        <v>0</v>
      </c>
      <c r="Z56" s="88">
        <f t="shared" si="40"/>
        <v>0</v>
      </c>
      <c r="AA56" s="89"/>
      <c r="AB56" s="90"/>
      <c r="AC56" s="90"/>
      <c r="AD56" s="90"/>
      <c r="AE56" s="90"/>
      <c r="AF56" s="90"/>
    </row>
    <row r="57" ht="15.75" customHeight="1">
      <c r="B57" s="80" t="s">
        <v>169</v>
      </c>
      <c r="C57" s="91">
        <f t="shared" ref="C57:Z57" si="41">SUM(C58:C61)</f>
        <v>6463550</v>
      </c>
      <c r="D57" s="91">
        <f t="shared" si="41"/>
        <v>6463550</v>
      </c>
      <c r="E57" s="91">
        <f t="shared" si="41"/>
        <v>6463550</v>
      </c>
      <c r="F57" s="91">
        <f t="shared" si="41"/>
        <v>6463550</v>
      </c>
      <c r="G57" s="91">
        <f t="shared" si="41"/>
        <v>6463550</v>
      </c>
      <c r="H57" s="91">
        <f t="shared" si="41"/>
        <v>6463550</v>
      </c>
      <c r="I57" s="91">
        <f t="shared" si="41"/>
        <v>6463550</v>
      </c>
      <c r="J57" s="91">
        <f t="shared" si="41"/>
        <v>6463550</v>
      </c>
      <c r="K57" s="91">
        <f t="shared" si="41"/>
        <v>6463550</v>
      </c>
      <c r="L57" s="91">
        <f t="shared" si="41"/>
        <v>6463550</v>
      </c>
      <c r="M57" s="91">
        <f t="shared" si="41"/>
        <v>18963550</v>
      </c>
      <c r="N57" s="91">
        <f t="shared" si="41"/>
        <v>18963550</v>
      </c>
      <c r="O57" s="85">
        <f t="shared" si="41"/>
        <v>0</v>
      </c>
      <c r="P57" s="85">
        <f t="shared" si="41"/>
        <v>0</v>
      </c>
      <c r="Q57" s="85">
        <f t="shared" si="41"/>
        <v>0</v>
      </c>
      <c r="R57" s="85">
        <f t="shared" si="41"/>
        <v>0</v>
      </c>
      <c r="S57" s="85">
        <f t="shared" si="41"/>
        <v>0</v>
      </c>
      <c r="T57" s="85">
        <f t="shared" si="41"/>
        <v>0</v>
      </c>
      <c r="U57" s="85">
        <f t="shared" si="41"/>
        <v>0</v>
      </c>
      <c r="V57" s="85">
        <f t="shared" si="41"/>
        <v>0</v>
      </c>
      <c r="W57" s="85">
        <f t="shared" si="41"/>
        <v>0</v>
      </c>
      <c r="X57" s="85">
        <f t="shared" si="41"/>
        <v>0</v>
      </c>
      <c r="Y57" s="85">
        <f t="shared" si="41"/>
        <v>0</v>
      </c>
      <c r="Z57" s="99">
        <f t="shared" si="41"/>
        <v>0</v>
      </c>
      <c r="AA57" s="100"/>
      <c r="AB57" s="101"/>
      <c r="AC57" s="101"/>
      <c r="AD57" s="101"/>
      <c r="AE57" s="101"/>
      <c r="AF57" s="101"/>
    </row>
    <row r="58" ht="15.75" customHeight="1">
      <c r="B58" s="102" t="str">
        <f>B13</f>
        <v>Оплата услуг специалистов (руководитель проекта, художник, аниматор, программист):</v>
      </c>
      <c r="C58" s="85">
        <f t="shared" ref="C58:N58" si="42">F13</f>
        <v>5250000</v>
      </c>
      <c r="D58" s="85">
        <f t="shared" si="42"/>
        <v>5250000</v>
      </c>
      <c r="E58" s="85">
        <f t="shared" si="42"/>
        <v>5250000</v>
      </c>
      <c r="F58" s="85">
        <f t="shared" si="42"/>
        <v>5250000</v>
      </c>
      <c r="G58" s="85">
        <f t="shared" si="42"/>
        <v>5250000</v>
      </c>
      <c r="H58" s="85">
        <f t="shared" si="42"/>
        <v>5250000</v>
      </c>
      <c r="I58" s="85">
        <f t="shared" si="42"/>
        <v>5250000</v>
      </c>
      <c r="J58" s="85">
        <f t="shared" si="42"/>
        <v>5250000</v>
      </c>
      <c r="K58" s="85">
        <f t="shared" si="42"/>
        <v>5250000</v>
      </c>
      <c r="L58" s="85">
        <f t="shared" si="42"/>
        <v>5250000</v>
      </c>
      <c r="M58" s="85">
        <f t="shared" si="42"/>
        <v>5250000</v>
      </c>
      <c r="N58" s="85">
        <f t="shared" si="42"/>
        <v>5250000</v>
      </c>
      <c r="O58" s="85">
        <v>0.0</v>
      </c>
      <c r="P58" s="85">
        <v>0.0</v>
      </c>
      <c r="Q58" s="85">
        <v>0.0</v>
      </c>
      <c r="R58" s="85">
        <v>0.0</v>
      </c>
      <c r="S58" s="85">
        <v>0.0</v>
      </c>
      <c r="T58" s="85">
        <v>0.0</v>
      </c>
      <c r="U58" s="85">
        <v>0.0</v>
      </c>
      <c r="V58" s="85">
        <v>0.0</v>
      </c>
      <c r="W58" s="85">
        <v>0.0</v>
      </c>
      <c r="X58" s="85">
        <v>0.0</v>
      </c>
      <c r="Y58" s="85">
        <v>0.0</v>
      </c>
      <c r="Z58" s="85">
        <v>0.0</v>
      </c>
      <c r="AA58" s="79"/>
      <c r="AB58" s="5"/>
      <c r="AC58" s="5"/>
      <c r="AD58" s="5"/>
      <c r="AE58" s="5"/>
      <c r="AF58" s="5"/>
    </row>
    <row r="59" ht="15.75" customHeight="1">
      <c r="B59" s="84" t="s">
        <v>174</v>
      </c>
      <c r="C59" s="85">
        <f t="shared" ref="C59:N59" si="43">F22</f>
        <v>1098550</v>
      </c>
      <c r="D59" s="85">
        <f t="shared" si="43"/>
        <v>1098550</v>
      </c>
      <c r="E59" s="85">
        <f t="shared" si="43"/>
        <v>1098550</v>
      </c>
      <c r="F59" s="85">
        <f t="shared" si="43"/>
        <v>1098550</v>
      </c>
      <c r="G59" s="85">
        <f t="shared" si="43"/>
        <v>1098550</v>
      </c>
      <c r="H59" s="85">
        <f t="shared" si="43"/>
        <v>1098550</v>
      </c>
      <c r="I59" s="85">
        <f t="shared" si="43"/>
        <v>1098550</v>
      </c>
      <c r="J59" s="85">
        <f t="shared" si="43"/>
        <v>1098550</v>
      </c>
      <c r="K59" s="85">
        <f t="shared" si="43"/>
        <v>1098550</v>
      </c>
      <c r="L59" s="85">
        <f t="shared" si="43"/>
        <v>1098550</v>
      </c>
      <c r="M59" s="85">
        <f t="shared" si="43"/>
        <v>1098550</v>
      </c>
      <c r="N59" s="85">
        <f t="shared" si="43"/>
        <v>1098550</v>
      </c>
      <c r="O59" s="85">
        <v>0.0</v>
      </c>
      <c r="P59" s="85">
        <v>0.0</v>
      </c>
      <c r="Q59" s="85">
        <v>0.0</v>
      </c>
      <c r="R59" s="85">
        <v>0.0</v>
      </c>
      <c r="S59" s="85">
        <v>0.0</v>
      </c>
      <c r="T59" s="85">
        <v>0.0</v>
      </c>
      <c r="U59" s="85">
        <v>0.0</v>
      </c>
      <c r="V59" s="85">
        <v>0.0</v>
      </c>
      <c r="W59" s="85">
        <v>0.0</v>
      </c>
      <c r="X59" s="85">
        <v>0.0</v>
      </c>
      <c r="Y59" s="85">
        <v>0.0</v>
      </c>
      <c r="Z59" s="85">
        <v>0.0</v>
      </c>
      <c r="AA59" s="79"/>
      <c r="AB59" s="5"/>
      <c r="AC59" s="5"/>
      <c r="AD59" s="5"/>
      <c r="AE59" s="5"/>
      <c r="AF59" s="5"/>
    </row>
    <row r="60" ht="15.75" customHeight="1">
      <c r="B60" s="84" t="s">
        <v>175</v>
      </c>
      <c r="C60" s="85">
        <f t="shared" ref="C60:N60" si="44">F33</f>
        <v>115000</v>
      </c>
      <c r="D60" s="85">
        <f t="shared" si="44"/>
        <v>115000</v>
      </c>
      <c r="E60" s="85">
        <f t="shared" si="44"/>
        <v>115000</v>
      </c>
      <c r="F60" s="85">
        <f t="shared" si="44"/>
        <v>115000</v>
      </c>
      <c r="G60" s="85">
        <f t="shared" si="44"/>
        <v>115000</v>
      </c>
      <c r="H60" s="85">
        <f t="shared" si="44"/>
        <v>115000</v>
      </c>
      <c r="I60" s="85">
        <f t="shared" si="44"/>
        <v>115000</v>
      </c>
      <c r="J60" s="85">
        <f t="shared" si="44"/>
        <v>115000</v>
      </c>
      <c r="K60" s="85">
        <f t="shared" si="44"/>
        <v>115000</v>
      </c>
      <c r="L60" s="85">
        <f t="shared" si="44"/>
        <v>115000</v>
      </c>
      <c r="M60" s="85">
        <f t="shared" si="44"/>
        <v>115000</v>
      </c>
      <c r="N60" s="85">
        <f t="shared" si="44"/>
        <v>115000</v>
      </c>
      <c r="O60" s="85">
        <v>0.0</v>
      </c>
      <c r="P60" s="85">
        <v>0.0</v>
      </c>
      <c r="Q60" s="85">
        <v>0.0</v>
      </c>
      <c r="R60" s="85">
        <v>0.0</v>
      </c>
      <c r="S60" s="85">
        <v>0.0</v>
      </c>
      <c r="T60" s="85">
        <v>0.0</v>
      </c>
      <c r="U60" s="85">
        <v>0.0</v>
      </c>
      <c r="V60" s="85">
        <v>0.0</v>
      </c>
      <c r="W60" s="85">
        <v>0.0</v>
      </c>
      <c r="X60" s="85">
        <v>0.0</v>
      </c>
      <c r="Y60" s="85">
        <v>0.0</v>
      </c>
      <c r="Z60" s="85">
        <v>0.0</v>
      </c>
      <c r="AA60" s="79"/>
      <c r="AB60" s="5"/>
      <c r="AC60" s="5"/>
      <c r="AD60" s="5"/>
      <c r="AE60" s="5"/>
      <c r="AF60" s="5"/>
    </row>
    <row r="61" ht="15.75" customHeight="1">
      <c r="B61" s="84" t="s">
        <v>176</v>
      </c>
      <c r="C61" s="85" t="str">
        <f t="shared" ref="C61:N61" si="45">F34</f>
        <v/>
      </c>
      <c r="D61" s="85" t="str">
        <f t="shared" si="45"/>
        <v/>
      </c>
      <c r="E61" s="85" t="str">
        <f t="shared" si="45"/>
        <v/>
      </c>
      <c r="F61" s="85" t="str">
        <f t="shared" si="45"/>
        <v/>
      </c>
      <c r="G61" s="85" t="str">
        <f t="shared" si="45"/>
        <v/>
      </c>
      <c r="H61" s="85" t="str">
        <f t="shared" si="45"/>
        <v/>
      </c>
      <c r="I61" s="85" t="str">
        <f t="shared" si="45"/>
        <v/>
      </c>
      <c r="J61" s="85" t="str">
        <f t="shared" si="45"/>
        <v/>
      </c>
      <c r="K61" s="85" t="str">
        <f t="shared" si="45"/>
        <v/>
      </c>
      <c r="L61" s="85" t="str">
        <f t="shared" si="45"/>
        <v/>
      </c>
      <c r="M61" s="85">
        <f t="shared" si="45"/>
        <v>12500000</v>
      </c>
      <c r="N61" s="85">
        <f t="shared" si="45"/>
        <v>12500000</v>
      </c>
      <c r="O61" s="85">
        <v>0.0</v>
      </c>
      <c r="P61" s="85">
        <v>0.0</v>
      </c>
      <c r="Q61" s="85">
        <v>0.0</v>
      </c>
      <c r="R61" s="85">
        <v>0.0</v>
      </c>
      <c r="S61" s="85">
        <v>0.0</v>
      </c>
      <c r="T61" s="85">
        <v>0.0</v>
      </c>
      <c r="U61" s="85">
        <v>0.0</v>
      </c>
      <c r="V61" s="85">
        <v>0.0</v>
      </c>
      <c r="W61" s="85">
        <v>0.0</v>
      </c>
      <c r="X61" s="85">
        <v>0.0</v>
      </c>
      <c r="Y61" s="85">
        <v>0.0</v>
      </c>
      <c r="Z61" s="85">
        <v>0.0</v>
      </c>
      <c r="AA61" s="79"/>
      <c r="AB61" s="5"/>
      <c r="AC61" s="5"/>
      <c r="AD61" s="5"/>
      <c r="AE61" s="5"/>
      <c r="AF61" s="5"/>
    </row>
    <row r="62" ht="15.75" customHeight="1">
      <c r="B62" s="86" t="s">
        <v>171</v>
      </c>
      <c r="C62" s="87">
        <f t="shared" ref="C62:Z62" si="46">SUM(C58:C61)</f>
        <v>6463550</v>
      </c>
      <c r="D62" s="87">
        <f t="shared" si="46"/>
        <v>6463550</v>
      </c>
      <c r="E62" s="87">
        <f t="shared" si="46"/>
        <v>6463550</v>
      </c>
      <c r="F62" s="87">
        <f t="shared" si="46"/>
        <v>6463550</v>
      </c>
      <c r="G62" s="87">
        <f t="shared" si="46"/>
        <v>6463550</v>
      </c>
      <c r="H62" s="87">
        <f t="shared" si="46"/>
        <v>6463550</v>
      </c>
      <c r="I62" s="87">
        <f t="shared" si="46"/>
        <v>6463550</v>
      </c>
      <c r="J62" s="87">
        <f t="shared" si="46"/>
        <v>6463550</v>
      </c>
      <c r="K62" s="87">
        <f t="shared" si="46"/>
        <v>6463550</v>
      </c>
      <c r="L62" s="87">
        <f t="shared" si="46"/>
        <v>6463550</v>
      </c>
      <c r="M62" s="87">
        <f t="shared" si="46"/>
        <v>18963550</v>
      </c>
      <c r="N62" s="87">
        <f t="shared" si="46"/>
        <v>18963550</v>
      </c>
      <c r="O62" s="87">
        <f t="shared" si="46"/>
        <v>0</v>
      </c>
      <c r="P62" s="87">
        <f t="shared" si="46"/>
        <v>0</v>
      </c>
      <c r="Q62" s="87">
        <f t="shared" si="46"/>
        <v>0</v>
      </c>
      <c r="R62" s="87">
        <f t="shared" si="46"/>
        <v>0</v>
      </c>
      <c r="S62" s="87">
        <f t="shared" si="46"/>
        <v>0</v>
      </c>
      <c r="T62" s="87">
        <f t="shared" si="46"/>
        <v>0</v>
      </c>
      <c r="U62" s="87">
        <f t="shared" si="46"/>
        <v>0</v>
      </c>
      <c r="V62" s="87">
        <f t="shared" si="46"/>
        <v>0</v>
      </c>
      <c r="W62" s="87">
        <f t="shared" si="46"/>
        <v>0</v>
      </c>
      <c r="X62" s="87">
        <f t="shared" si="46"/>
        <v>0</v>
      </c>
      <c r="Y62" s="87">
        <f t="shared" si="46"/>
        <v>0</v>
      </c>
      <c r="Z62" s="88">
        <f t="shared" si="46"/>
        <v>0</v>
      </c>
      <c r="AA62" s="89"/>
      <c r="AB62" s="90"/>
      <c r="AC62" s="90"/>
      <c r="AD62" s="90"/>
      <c r="AE62" s="90"/>
      <c r="AF62" s="90"/>
    </row>
    <row r="63" ht="15.75" customHeight="1">
      <c r="B63" s="94" t="s">
        <v>177</v>
      </c>
      <c r="C63" s="91">
        <f t="shared" ref="C63:Z63" si="47">C56-C62</f>
        <v>-6463550</v>
      </c>
      <c r="D63" s="91">
        <f t="shared" si="47"/>
        <v>-6463550</v>
      </c>
      <c r="E63" s="91">
        <f t="shared" si="47"/>
        <v>-6463550</v>
      </c>
      <c r="F63" s="91">
        <f t="shared" si="47"/>
        <v>-6463550</v>
      </c>
      <c r="G63" s="91">
        <f t="shared" si="47"/>
        <v>-6463550</v>
      </c>
      <c r="H63" s="91">
        <f t="shared" si="47"/>
        <v>-6463550</v>
      </c>
      <c r="I63" s="91">
        <f t="shared" si="47"/>
        <v>-6463550</v>
      </c>
      <c r="J63" s="91">
        <f t="shared" si="47"/>
        <v>-6463550</v>
      </c>
      <c r="K63" s="91">
        <f t="shared" si="47"/>
        <v>-6463550</v>
      </c>
      <c r="L63" s="91">
        <f t="shared" si="47"/>
        <v>-6463550</v>
      </c>
      <c r="M63" s="91">
        <f t="shared" si="47"/>
        <v>-18963550</v>
      </c>
      <c r="N63" s="91">
        <f t="shared" si="47"/>
        <v>-18963550</v>
      </c>
      <c r="O63" s="91">
        <f t="shared" si="47"/>
        <v>0</v>
      </c>
      <c r="P63" s="91">
        <f t="shared" si="47"/>
        <v>0</v>
      </c>
      <c r="Q63" s="91">
        <f t="shared" si="47"/>
        <v>0</v>
      </c>
      <c r="R63" s="91">
        <f t="shared" si="47"/>
        <v>0</v>
      </c>
      <c r="S63" s="91">
        <f t="shared" si="47"/>
        <v>0</v>
      </c>
      <c r="T63" s="91">
        <f t="shared" si="47"/>
        <v>0</v>
      </c>
      <c r="U63" s="91">
        <f t="shared" si="47"/>
        <v>0</v>
      </c>
      <c r="V63" s="91">
        <f t="shared" si="47"/>
        <v>0</v>
      </c>
      <c r="W63" s="91">
        <f t="shared" si="47"/>
        <v>0</v>
      </c>
      <c r="X63" s="91">
        <f t="shared" si="47"/>
        <v>0</v>
      </c>
      <c r="Y63" s="91">
        <f t="shared" si="47"/>
        <v>0</v>
      </c>
      <c r="Z63" s="95">
        <f t="shared" si="47"/>
        <v>0</v>
      </c>
      <c r="AA63" s="92"/>
      <c r="AB63" s="93"/>
      <c r="AC63" s="93"/>
      <c r="AD63" s="93"/>
      <c r="AE63" s="93"/>
      <c r="AF63" s="93"/>
    </row>
    <row r="64" ht="15.75" customHeight="1">
      <c r="B64" s="84"/>
      <c r="C64" s="8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78"/>
      <c r="AA64" s="79"/>
      <c r="AB64" s="5"/>
      <c r="AC64" s="5"/>
      <c r="AD64" s="5"/>
      <c r="AE64" s="5"/>
      <c r="AF64" s="5"/>
    </row>
    <row r="65" ht="15.75" customHeight="1">
      <c r="B65" s="77" t="s">
        <v>178</v>
      </c>
      <c r="C65" s="73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78"/>
      <c r="AA65" s="79"/>
      <c r="AB65" s="5"/>
      <c r="AC65" s="5"/>
      <c r="AD65" s="5"/>
      <c r="AE65" s="5"/>
      <c r="AF65" s="5"/>
    </row>
    <row r="66" ht="15.75" customHeight="1">
      <c r="B66" s="80" t="s">
        <v>166</v>
      </c>
      <c r="C66" s="85">
        <f>E35</f>
        <v>102562600</v>
      </c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78"/>
      <c r="AA66" s="79"/>
      <c r="AB66" s="5"/>
      <c r="AC66" s="5"/>
      <c r="AD66" s="5"/>
      <c r="AE66" s="5"/>
      <c r="AF66" s="5"/>
    </row>
    <row r="67" ht="15.75" customHeight="1">
      <c r="B67" s="84" t="s">
        <v>179</v>
      </c>
      <c r="C67" s="85">
        <f>E35</f>
        <v>102562600</v>
      </c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78"/>
      <c r="AA67" s="79"/>
      <c r="AB67" s="5"/>
      <c r="AC67" s="5"/>
      <c r="AD67" s="5"/>
      <c r="AE67" s="5"/>
      <c r="AF67" s="5"/>
    </row>
    <row r="68" ht="15.75" customHeight="1">
      <c r="B68" s="86" t="s">
        <v>168</v>
      </c>
      <c r="C68" s="87">
        <f>SUM(C67)</f>
        <v>102562600</v>
      </c>
      <c r="D68" s="54">
        <v>0.0</v>
      </c>
      <c r="E68" s="54">
        <f t="shared" ref="E68:Z68" si="48">D68</f>
        <v>0</v>
      </c>
      <c r="F68" s="54">
        <f t="shared" si="48"/>
        <v>0</v>
      </c>
      <c r="G68" s="54">
        <f t="shared" si="48"/>
        <v>0</v>
      </c>
      <c r="H68" s="54">
        <f t="shared" si="48"/>
        <v>0</v>
      </c>
      <c r="I68" s="54">
        <f t="shared" si="48"/>
        <v>0</v>
      </c>
      <c r="J68" s="54">
        <f t="shared" si="48"/>
        <v>0</v>
      </c>
      <c r="K68" s="54">
        <f t="shared" si="48"/>
        <v>0</v>
      </c>
      <c r="L68" s="54">
        <f t="shared" si="48"/>
        <v>0</v>
      </c>
      <c r="M68" s="54">
        <f t="shared" si="48"/>
        <v>0</v>
      </c>
      <c r="N68" s="54">
        <f t="shared" si="48"/>
        <v>0</v>
      </c>
      <c r="O68" s="54">
        <f t="shared" si="48"/>
        <v>0</v>
      </c>
      <c r="P68" s="54">
        <f t="shared" si="48"/>
        <v>0</v>
      </c>
      <c r="Q68" s="54">
        <f t="shared" si="48"/>
        <v>0</v>
      </c>
      <c r="R68" s="54">
        <f t="shared" si="48"/>
        <v>0</v>
      </c>
      <c r="S68" s="54">
        <f t="shared" si="48"/>
        <v>0</v>
      </c>
      <c r="T68" s="54">
        <f t="shared" si="48"/>
        <v>0</v>
      </c>
      <c r="U68" s="54">
        <f t="shared" si="48"/>
        <v>0</v>
      </c>
      <c r="V68" s="54">
        <f t="shared" si="48"/>
        <v>0</v>
      </c>
      <c r="W68" s="54">
        <f t="shared" si="48"/>
        <v>0</v>
      </c>
      <c r="X68" s="54">
        <f t="shared" si="48"/>
        <v>0</v>
      </c>
      <c r="Y68" s="54">
        <f t="shared" si="48"/>
        <v>0</v>
      </c>
      <c r="Z68" s="78">
        <f t="shared" si="48"/>
        <v>0</v>
      </c>
      <c r="AA68" s="79"/>
      <c r="AB68" s="5"/>
      <c r="AC68" s="5"/>
      <c r="AD68" s="5"/>
      <c r="AE68" s="5"/>
      <c r="AF68" s="5"/>
    </row>
    <row r="69" ht="15.75" customHeight="1">
      <c r="B69" s="80" t="s">
        <v>169</v>
      </c>
      <c r="C69" s="85">
        <f t="shared" ref="C69:Z69" si="49">C70</f>
        <v>0</v>
      </c>
      <c r="D69" s="85">
        <f t="shared" si="49"/>
        <v>0</v>
      </c>
      <c r="E69" s="85">
        <f t="shared" si="49"/>
        <v>0</v>
      </c>
      <c r="F69" s="85">
        <f t="shared" si="49"/>
        <v>0</v>
      </c>
      <c r="G69" s="85">
        <f t="shared" si="49"/>
        <v>0</v>
      </c>
      <c r="H69" s="85">
        <f t="shared" si="49"/>
        <v>0</v>
      </c>
      <c r="I69" s="85">
        <f t="shared" si="49"/>
        <v>0</v>
      </c>
      <c r="J69" s="85">
        <f t="shared" si="49"/>
        <v>0</v>
      </c>
      <c r="K69" s="85">
        <f t="shared" si="49"/>
        <v>0</v>
      </c>
      <c r="L69" s="85">
        <f t="shared" si="49"/>
        <v>0</v>
      </c>
      <c r="M69" s="85">
        <f t="shared" si="49"/>
        <v>0</v>
      </c>
      <c r="N69" s="85">
        <f t="shared" si="49"/>
        <v>0</v>
      </c>
      <c r="O69" s="85">
        <f t="shared" si="49"/>
        <v>102562600</v>
      </c>
      <c r="P69" s="85">
        <f t="shared" si="49"/>
        <v>0</v>
      </c>
      <c r="Q69" s="85">
        <f t="shared" si="49"/>
        <v>0</v>
      </c>
      <c r="R69" s="85">
        <f t="shared" si="49"/>
        <v>0</v>
      </c>
      <c r="S69" s="85">
        <f t="shared" si="49"/>
        <v>0</v>
      </c>
      <c r="T69" s="85">
        <f t="shared" si="49"/>
        <v>0</v>
      </c>
      <c r="U69" s="85">
        <f t="shared" si="49"/>
        <v>34187533.33</v>
      </c>
      <c r="V69" s="85">
        <f t="shared" si="49"/>
        <v>34187533.33</v>
      </c>
      <c r="W69" s="85">
        <f t="shared" si="49"/>
        <v>34187533.33</v>
      </c>
      <c r="X69" s="85">
        <f t="shared" si="49"/>
        <v>0</v>
      </c>
      <c r="Y69" s="85">
        <f t="shared" si="49"/>
        <v>0</v>
      </c>
      <c r="Z69" s="99">
        <f t="shared" si="49"/>
        <v>0</v>
      </c>
      <c r="AA69" s="100"/>
      <c r="AB69" s="101"/>
      <c r="AC69" s="101"/>
      <c r="AD69" s="101"/>
      <c r="AE69" s="101"/>
      <c r="AF69" s="101"/>
    </row>
    <row r="70" ht="15.75" customHeight="1">
      <c r="B70" s="84" t="s">
        <v>180</v>
      </c>
      <c r="C70" s="85">
        <v>0.0</v>
      </c>
      <c r="D70" s="85">
        <v>0.0</v>
      </c>
      <c r="E70" s="85">
        <v>0.0</v>
      </c>
      <c r="F70" s="85">
        <v>0.0</v>
      </c>
      <c r="G70" s="85">
        <v>0.0</v>
      </c>
      <c r="H70" s="85">
        <v>0.0</v>
      </c>
      <c r="I70" s="85">
        <v>0.0</v>
      </c>
      <c r="J70" s="85">
        <v>0.0</v>
      </c>
      <c r="K70" s="85">
        <v>0.0</v>
      </c>
      <c r="L70" s="85">
        <v>0.0</v>
      </c>
      <c r="M70" s="85">
        <v>0.0</v>
      </c>
      <c r="N70" s="85">
        <v>0.0</v>
      </c>
      <c r="O70" s="85">
        <f>C68</f>
        <v>102562600</v>
      </c>
      <c r="P70" s="85">
        <v>0.0</v>
      </c>
      <c r="Q70" s="85">
        <v>0.0</v>
      </c>
      <c r="R70" s="85">
        <v>0.0</v>
      </c>
      <c r="S70" s="85">
        <v>0.0</v>
      </c>
      <c r="T70" s="85">
        <v>0.0</v>
      </c>
      <c r="U70" s="85">
        <f>C68/3</f>
        <v>34187533.33</v>
      </c>
      <c r="V70" s="55">
        <f t="shared" ref="V70:W70" si="50">U70</f>
        <v>34187533.33</v>
      </c>
      <c r="W70" s="55">
        <f t="shared" si="50"/>
        <v>34187533.33</v>
      </c>
      <c r="X70" s="54">
        <v>0.0</v>
      </c>
      <c r="Y70" s="54">
        <v>0.0</v>
      </c>
      <c r="Z70" s="78">
        <v>0.0</v>
      </c>
      <c r="AA70" s="79"/>
      <c r="AB70" s="5"/>
      <c r="AC70" s="5"/>
      <c r="AD70" s="5"/>
      <c r="AE70" s="5"/>
      <c r="AF70" s="5"/>
    </row>
    <row r="71" ht="15.75" customHeight="1">
      <c r="B71" s="86" t="s">
        <v>171</v>
      </c>
      <c r="C71" s="87">
        <f t="shared" ref="C71:Z71" si="51">C70</f>
        <v>0</v>
      </c>
      <c r="D71" s="87">
        <f t="shared" si="51"/>
        <v>0</v>
      </c>
      <c r="E71" s="87">
        <f t="shared" si="51"/>
        <v>0</v>
      </c>
      <c r="F71" s="87">
        <f t="shared" si="51"/>
        <v>0</v>
      </c>
      <c r="G71" s="87">
        <f t="shared" si="51"/>
        <v>0</v>
      </c>
      <c r="H71" s="87">
        <f t="shared" si="51"/>
        <v>0</v>
      </c>
      <c r="I71" s="87">
        <f t="shared" si="51"/>
        <v>0</v>
      </c>
      <c r="J71" s="87">
        <f t="shared" si="51"/>
        <v>0</v>
      </c>
      <c r="K71" s="87">
        <f t="shared" si="51"/>
        <v>0</v>
      </c>
      <c r="L71" s="87">
        <f t="shared" si="51"/>
        <v>0</v>
      </c>
      <c r="M71" s="87">
        <f t="shared" si="51"/>
        <v>0</v>
      </c>
      <c r="N71" s="87">
        <f t="shared" si="51"/>
        <v>0</v>
      </c>
      <c r="O71" s="87">
        <f t="shared" si="51"/>
        <v>102562600</v>
      </c>
      <c r="P71" s="87">
        <f t="shared" si="51"/>
        <v>0</v>
      </c>
      <c r="Q71" s="87">
        <f t="shared" si="51"/>
        <v>0</v>
      </c>
      <c r="R71" s="87">
        <f t="shared" si="51"/>
        <v>0</v>
      </c>
      <c r="S71" s="87">
        <f t="shared" si="51"/>
        <v>0</v>
      </c>
      <c r="T71" s="87">
        <f t="shared" si="51"/>
        <v>0</v>
      </c>
      <c r="U71" s="87">
        <f t="shared" si="51"/>
        <v>34187533.33</v>
      </c>
      <c r="V71" s="87">
        <f t="shared" si="51"/>
        <v>34187533.33</v>
      </c>
      <c r="W71" s="87">
        <f t="shared" si="51"/>
        <v>34187533.33</v>
      </c>
      <c r="X71" s="87">
        <f t="shared" si="51"/>
        <v>0</v>
      </c>
      <c r="Y71" s="87">
        <f t="shared" si="51"/>
        <v>0</v>
      </c>
      <c r="Z71" s="88">
        <f t="shared" si="51"/>
        <v>0</v>
      </c>
      <c r="AA71" s="89"/>
      <c r="AB71" s="90"/>
      <c r="AC71" s="90"/>
      <c r="AD71" s="90"/>
      <c r="AE71" s="90"/>
      <c r="AF71" s="90"/>
    </row>
    <row r="72" ht="15.75" customHeight="1">
      <c r="B72" s="94" t="s">
        <v>181</v>
      </c>
      <c r="C72" s="91">
        <f t="shared" ref="C72:Z72" si="52">C68-C69</f>
        <v>102562600</v>
      </c>
      <c r="D72" s="91">
        <f t="shared" si="52"/>
        <v>0</v>
      </c>
      <c r="E72" s="91">
        <f t="shared" si="52"/>
        <v>0</v>
      </c>
      <c r="F72" s="91">
        <f t="shared" si="52"/>
        <v>0</v>
      </c>
      <c r="G72" s="91">
        <f t="shared" si="52"/>
        <v>0</v>
      </c>
      <c r="H72" s="91">
        <f t="shared" si="52"/>
        <v>0</v>
      </c>
      <c r="I72" s="91">
        <f t="shared" si="52"/>
        <v>0</v>
      </c>
      <c r="J72" s="91">
        <f t="shared" si="52"/>
        <v>0</v>
      </c>
      <c r="K72" s="91">
        <f t="shared" si="52"/>
        <v>0</v>
      </c>
      <c r="L72" s="91">
        <f t="shared" si="52"/>
        <v>0</v>
      </c>
      <c r="M72" s="91">
        <f t="shared" si="52"/>
        <v>0</v>
      </c>
      <c r="N72" s="91">
        <f t="shared" si="52"/>
        <v>0</v>
      </c>
      <c r="O72" s="91">
        <f t="shared" si="52"/>
        <v>-102562600</v>
      </c>
      <c r="P72" s="91">
        <f t="shared" si="52"/>
        <v>0</v>
      </c>
      <c r="Q72" s="91">
        <f t="shared" si="52"/>
        <v>0</v>
      </c>
      <c r="R72" s="91">
        <f t="shared" si="52"/>
        <v>0</v>
      </c>
      <c r="S72" s="91">
        <f t="shared" si="52"/>
        <v>0</v>
      </c>
      <c r="T72" s="91">
        <f t="shared" si="52"/>
        <v>0</v>
      </c>
      <c r="U72" s="91">
        <f t="shared" si="52"/>
        <v>-34187533.33</v>
      </c>
      <c r="V72" s="91">
        <f t="shared" si="52"/>
        <v>-34187533.33</v>
      </c>
      <c r="W72" s="91">
        <f t="shared" si="52"/>
        <v>-34187533.33</v>
      </c>
      <c r="X72" s="91">
        <f t="shared" si="52"/>
        <v>0</v>
      </c>
      <c r="Y72" s="91">
        <f t="shared" si="52"/>
        <v>0</v>
      </c>
      <c r="Z72" s="95">
        <f t="shared" si="52"/>
        <v>0</v>
      </c>
      <c r="AA72" s="92"/>
      <c r="AB72" s="93"/>
      <c r="AC72" s="93"/>
      <c r="AD72" s="93"/>
      <c r="AE72" s="93"/>
      <c r="AF72" s="93"/>
    </row>
    <row r="73" ht="15.75" customHeight="1">
      <c r="B73" s="94" t="s">
        <v>182</v>
      </c>
      <c r="C73" s="103">
        <f>0</f>
        <v>0</v>
      </c>
      <c r="D73" s="103"/>
      <c r="E73" s="103"/>
      <c r="F73" s="103"/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3"/>
      <c r="Z73" s="104"/>
      <c r="AA73" s="105"/>
      <c r="AB73" s="106"/>
      <c r="AC73" s="106"/>
      <c r="AD73" s="106"/>
      <c r="AE73" s="106"/>
      <c r="AF73" s="106"/>
    </row>
    <row r="74" ht="15.75" customHeight="1">
      <c r="B74" s="107" t="s">
        <v>183</v>
      </c>
      <c r="C74" s="87">
        <f t="shared" ref="C74:Z74" si="53">C73+C52+C63+C72</f>
        <v>96099050</v>
      </c>
      <c r="D74" s="108">
        <f t="shared" si="53"/>
        <v>-6463550</v>
      </c>
      <c r="E74" s="87">
        <f t="shared" si="53"/>
        <v>-6463550</v>
      </c>
      <c r="F74" s="87">
        <f t="shared" si="53"/>
        <v>-6463550</v>
      </c>
      <c r="G74" s="87">
        <f t="shared" si="53"/>
        <v>-6463550</v>
      </c>
      <c r="H74" s="87">
        <f t="shared" si="53"/>
        <v>-6463550</v>
      </c>
      <c r="I74" s="87">
        <f t="shared" si="53"/>
        <v>-6463550</v>
      </c>
      <c r="J74" s="87">
        <f t="shared" si="53"/>
        <v>-6463550</v>
      </c>
      <c r="K74" s="87">
        <f t="shared" si="53"/>
        <v>-6463550</v>
      </c>
      <c r="L74" s="87">
        <f t="shared" si="53"/>
        <v>-6463550</v>
      </c>
      <c r="M74" s="87">
        <f t="shared" si="53"/>
        <v>-18963550</v>
      </c>
      <c r="N74" s="87">
        <f t="shared" si="53"/>
        <v>-18963550</v>
      </c>
      <c r="O74" s="87">
        <f t="shared" si="53"/>
        <v>63387600</v>
      </c>
      <c r="P74" s="87">
        <f t="shared" si="53"/>
        <v>165950200</v>
      </c>
      <c r="Q74" s="87">
        <f t="shared" si="53"/>
        <v>165950200</v>
      </c>
      <c r="R74" s="87">
        <f t="shared" si="53"/>
        <v>165950200</v>
      </c>
      <c r="S74" s="87">
        <f t="shared" si="53"/>
        <v>165950200</v>
      </c>
      <c r="T74" s="87">
        <f t="shared" si="53"/>
        <v>165950200</v>
      </c>
      <c r="U74" s="87">
        <f t="shared" si="53"/>
        <v>131762666.7</v>
      </c>
      <c r="V74" s="87">
        <f t="shared" si="53"/>
        <v>131762666.7</v>
      </c>
      <c r="W74" s="87">
        <f t="shared" si="53"/>
        <v>131762666.7</v>
      </c>
      <c r="X74" s="87">
        <f t="shared" si="53"/>
        <v>165950200</v>
      </c>
      <c r="Y74" s="87">
        <f t="shared" si="53"/>
        <v>165950200</v>
      </c>
      <c r="Z74" s="88">
        <f t="shared" si="53"/>
        <v>165950200</v>
      </c>
      <c r="AA74" s="89"/>
      <c r="AB74" s="90"/>
      <c r="AC74" s="90"/>
      <c r="AD74" s="90"/>
      <c r="AE74" s="90"/>
      <c r="AF74" s="90"/>
    </row>
    <row r="75" ht="15.75" customHeight="1">
      <c r="B75" s="80" t="s">
        <v>184</v>
      </c>
      <c r="C75" s="91">
        <f>C74</f>
        <v>96099050</v>
      </c>
      <c r="D75" s="109">
        <f t="shared" ref="D75:Z75" si="54">C75+D74</f>
        <v>89635500</v>
      </c>
      <c r="E75" s="109">
        <f t="shared" si="54"/>
        <v>83171950</v>
      </c>
      <c r="F75" s="109">
        <f t="shared" si="54"/>
        <v>76708400</v>
      </c>
      <c r="G75" s="109">
        <f t="shared" si="54"/>
        <v>70244850</v>
      </c>
      <c r="H75" s="109">
        <f t="shared" si="54"/>
        <v>63781300</v>
      </c>
      <c r="I75" s="109">
        <f t="shared" si="54"/>
        <v>57317750</v>
      </c>
      <c r="J75" s="109">
        <f t="shared" si="54"/>
        <v>50854200</v>
      </c>
      <c r="K75" s="109">
        <f t="shared" si="54"/>
        <v>44390650</v>
      </c>
      <c r="L75" s="109">
        <f t="shared" si="54"/>
        <v>37927100</v>
      </c>
      <c r="M75" s="109">
        <f t="shared" si="54"/>
        <v>18963550</v>
      </c>
      <c r="N75" s="109">
        <f t="shared" si="54"/>
        <v>0</v>
      </c>
      <c r="O75" s="109">
        <f t="shared" si="54"/>
        <v>63387600</v>
      </c>
      <c r="P75" s="109">
        <f t="shared" si="54"/>
        <v>229337800</v>
      </c>
      <c r="Q75" s="109">
        <f t="shared" si="54"/>
        <v>395288000</v>
      </c>
      <c r="R75" s="109">
        <f t="shared" si="54"/>
        <v>561238200</v>
      </c>
      <c r="S75" s="109">
        <f t="shared" si="54"/>
        <v>727188400</v>
      </c>
      <c r="T75" s="109">
        <f t="shared" si="54"/>
        <v>893138600</v>
      </c>
      <c r="U75" s="109">
        <f t="shared" si="54"/>
        <v>1024901267</v>
      </c>
      <c r="V75" s="109">
        <f t="shared" si="54"/>
        <v>1156663933</v>
      </c>
      <c r="W75" s="109">
        <f t="shared" si="54"/>
        <v>1288426600</v>
      </c>
      <c r="X75" s="109">
        <f t="shared" si="54"/>
        <v>1454376800</v>
      </c>
      <c r="Y75" s="109">
        <f t="shared" si="54"/>
        <v>1620327000</v>
      </c>
      <c r="Z75" s="110">
        <f t="shared" si="54"/>
        <v>1786277200</v>
      </c>
      <c r="AA75" s="111"/>
      <c r="AB75" s="112"/>
      <c r="AC75" s="112"/>
      <c r="AD75" s="112"/>
      <c r="AE75" s="112"/>
      <c r="AF75" s="112"/>
    </row>
    <row r="76" ht="15.75" customHeight="1">
      <c r="B76" s="113"/>
      <c r="C76" s="113"/>
    </row>
    <row r="77" ht="15.75" customHeight="1">
      <c r="B77" s="114" t="s">
        <v>117</v>
      </c>
      <c r="C77" s="115" t="s">
        <v>120</v>
      </c>
      <c r="D77" s="116" t="s">
        <v>185</v>
      </c>
      <c r="E77" s="116" t="s">
        <v>186</v>
      </c>
      <c r="F77" s="117" t="s">
        <v>187</v>
      </c>
      <c r="G77" s="118"/>
    </row>
    <row r="78" ht="15.75" customHeight="1">
      <c r="B78" s="119" t="s">
        <v>188</v>
      </c>
      <c r="C78" s="120">
        <f>C63+D63+E63+F63+G63+H63+C52+D52+E52+F52+G52+H52</f>
        <v>-38781300</v>
      </c>
      <c r="D78" s="120">
        <f>I63+J63+K63+L63+M63+N63+I52+J52+K52+L52+M52+N52</f>
        <v>-63781300</v>
      </c>
      <c r="E78" s="120">
        <f>O63+P63+Q63+R63+S63+T63+O52+P52+Q52+R52+S52+T52</f>
        <v>995701200</v>
      </c>
      <c r="F78" s="121">
        <f>U52+V52+W52+X52+Y52+Z52+U63+V63+W63+X63+Y63+Z63</f>
        <v>995701200</v>
      </c>
      <c r="G78" s="122"/>
    </row>
    <row r="79" ht="15.75" customHeight="1">
      <c r="B79" s="123" t="s">
        <v>189</v>
      </c>
      <c r="C79" s="124">
        <f t="array" ref="C79">NPV(C81,C78:G78)</f>
        <v>979785629.6</v>
      </c>
      <c r="D79" s="125"/>
      <c r="E79" s="56"/>
      <c r="F79" s="56"/>
      <c r="G79" s="56"/>
    </row>
    <row r="80" ht="15.75" customHeight="1">
      <c r="B80" s="126" t="s">
        <v>190</v>
      </c>
      <c r="C80" s="127">
        <f>IRR(C78:G78)</f>
        <v>3.80723141</v>
      </c>
      <c r="G80" s="5"/>
    </row>
    <row r="81" ht="15.75" customHeight="1">
      <c r="B81" s="128" t="s">
        <v>191</v>
      </c>
      <c r="C81" s="129">
        <v>0.2</v>
      </c>
    </row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C43:N43"/>
    <mergeCell ref="O43:Z43"/>
  </mergeCells>
  <conditionalFormatting sqref="B52:AF52 B63:AF63 B72:AF74">
    <cfRule type="cellIs" dxfId="0" priority="1" operator="lessThan">
      <formula>0</formula>
    </cfRule>
  </conditionalFormatting>
  <conditionalFormatting sqref="C78">
    <cfRule type="cellIs" dxfId="0" priority="2" operator="lessThan">
      <formula>0</formula>
    </cfRule>
  </conditionalFormatting>
  <conditionalFormatting sqref="D78">
    <cfRule type="cellIs" dxfId="0" priority="3" operator="lessThan">
      <formula>0</formula>
    </cfRule>
  </conditionalFormatting>
  <conditionalFormatting sqref="E78">
    <cfRule type="cellIs" dxfId="0" priority="4" operator="lessThan">
      <formula>0</formula>
    </cfRule>
  </conditionalFormatting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2026-02-02T11:21:34Z</dcterms:created>
  <dc:creator>Admin</dc:creator>
</cp:coreProperties>
</file>